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9285" windowHeight="6450" activeTab="1"/>
  </bookViews>
  <sheets>
    <sheet name="Matriz seguimiento" sheetId="1" r:id="rId1"/>
    <sheet name="Consolidado Avances" sheetId="2" r:id="rId2"/>
  </sheets>
  <definedNames>
    <definedName name="_xlnm._FilterDatabase" localSheetId="0" hidden="1">'Matriz seguimiento'!$A$2:$AE$77</definedName>
    <definedName name="_xlnm.Print_Titles" localSheetId="0">'Matriz seguimiento'!$2:$2</definedName>
  </definedNames>
  <calcPr calcId="145621"/>
</workbook>
</file>

<file path=xl/calcChain.xml><?xml version="1.0" encoding="utf-8"?>
<calcChain xmlns="http://schemas.openxmlformats.org/spreadsheetml/2006/main">
  <c r="K1" i="1" l="1"/>
  <c r="E34" i="2" l="1"/>
  <c r="D34" i="2"/>
  <c r="E28" i="2"/>
  <c r="D28" i="2"/>
  <c r="E15" i="2"/>
  <c r="D15" i="2"/>
  <c r="H54" i="1"/>
  <c r="E37" i="2" l="1"/>
  <c r="D37" i="2"/>
  <c r="X2" i="1" l="1"/>
  <c r="F35" i="1" l="1"/>
  <c r="F31" i="1"/>
  <c r="F30" i="1"/>
  <c r="C76" i="1"/>
  <c r="H49" i="1" l="1"/>
  <c r="H35" i="1"/>
  <c r="I35" i="1" s="1"/>
  <c r="J35" i="1" s="1"/>
  <c r="H9" i="1"/>
  <c r="H8" i="1"/>
  <c r="K54" i="1"/>
  <c r="J54" i="1"/>
  <c r="K35" i="1"/>
  <c r="K31" i="1"/>
  <c r="K30" i="1"/>
  <c r="K28" i="1"/>
  <c r="G71" i="1"/>
  <c r="F29" i="1"/>
  <c r="K29" i="1" s="1"/>
  <c r="F28" i="1"/>
  <c r="F26" i="1"/>
  <c r="K26" i="1" s="1"/>
  <c r="F25" i="1"/>
  <c r="F23" i="1"/>
  <c r="K23" i="1" s="1"/>
  <c r="F22" i="1"/>
  <c r="K22" i="1" s="1"/>
  <c r="F74" i="1"/>
  <c r="K74" i="1" s="1"/>
  <c r="F70" i="1"/>
  <c r="K70" i="1" s="1"/>
  <c r="F65" i="1"/>
  <c r="K65" i="1" s="1"/>
  <c r="F64" i="1"/>
  <c r="F63" i="1"/>
  <c r="K63" i="1" s="1"/>
  <c r="F61" i="1"/>
  <c r="K61" i="1" s="1"/>
  <c r="F57" i="1"/>
  <c r="K57" i="1" s="1"/>
  <c r="F56" i="1"/>
  <c r="F54" i="1"/>
  <c r="I54" i="1" s="1"/>
  <c r="F53" i="1"/>
  <c r="F52" i="1"/>
  <c r="K52" i="1" s="1"/>
  <c r="F51" i="1"/>
  <c r="K51" i="1" s="1"/>
  <c r="F49" i="1"/>
  <c r="K49" i="1" s="1"/>
  <c r="F48" i="1"/>
  <c r="F46" i="1"/>
  <c r="K46" i="1" s="1"/>
  <c r="F45" i="1"/>
  <c r="K45" i="1" s="1"/>
  <c r="F44" i="1"/>
  <c r="F43" i="1"/>
  <c r="K43" i="1" s="1"/>
  <c r="F41" i="1"/>
  <c r="K41" i="1" s="1"/>
  <c r="F40" i="1"/>
  <c r="F39" i="1"/>
  <c r="K39" i="1" s="1"/>
  <c r="F38" i="1"/>
  <c r="K38" i="1" s="1"/>
  <c r="F37" i="1"/>
  <c r="K37" i="1" s="1"/>
  <c r="F36" i="1"/>
  <c r="F20" i="1"/>
  <c r="F19" i="1"/>
  <c r="K19" i="1" s="1"/>
  <c r="F18" i="1"/>
  <c r="K18" i="1" s="1"/>
  <c r="F17" i="1"/>
  <c r="K17" i="1" s="1"/>
  <c r="F9" i="1"/>
  <c r="K9" i="1" s="1"/>
  <c r="F8" i="1"/>
  <c r="I8" i="1" s="1"/>
  <c r="J8" i="1" s="1"/>
  <c r="F7" i="1"/>
  <c r="K7" i="1" s="1"/>
  <c r="F5" i="1"/>
  <c r="F4" i="1"/>
  <c r="K4" i="1" s="1"/>
  <c r="F3" i="1"/>
  <c r="I9" i="1" l="1"/>
  <c r="J9" i="1" s="1"/>
  <c r="K5" i="1"/>
  <c r="K8" i="1"/>
  <c r="K20" i="1"/>
  <c r="K25" i="1"/>
  <c r="K36" i="1"/>
  <c r="K40" i="1"/>
  <c r="K44" i="1"/>
  <c r="K48" i="1"/>
  <c r="K53" i="1"/>
  <c r="K56" i="1"/>
  <c r="I45" i="1"/>
  <c r="J45" i="1" s="1"/>
  <c r="K64" i="1"/>
  <c r="F71" i="1"/>
  <c r="I49" i="1"/>
  <c r="J49" i="1" s="1"/>
  <c r="H20" i="1"/>
  <c r="I20" i="1" s="1"/>
  <c r="J20" i="1" s="1"/>
  <c r="H65" i="1"/>
  <c r="I65" i="1" s="1"/>
  <c r="J65" i="1" s="1"/>
  <c r="H64" i="1"/>
  <c r="I64" i="1" s="1"/>
  <c r="J64" i="1" s="1"/>
  <c r="H63" i="1"/>
  <c r="H61" i="1"/>
  <c r="I61" i="1" s="1"/>
  <c r="J61" i="1" s="1"/>
  <c r="H74" i="1"/>
  <c r="I74" i="1" s="1"/>
  <c r="H53" i="1"/>
  <c r="I53" i="1" s="1"/>
  <c r="J53" i="1" s="1"/>
  <c r="H46" i="1"/>
  <c r="I46" i="1" s="1"/>
  <c r="J46" i="1" s="1"/>
  <c r="H48" i="1"/>
  <c r="I48" i="1" s="1"/>
  <c r="J48" i="1" s="1"/>
  <c r="AA21" i="1"/>
  <c r="AA18" i="1"/>
  <c r="AB17" i="1"/>
  <c r="G66" i="1"/>
  <c r="G67" i="1" s="1"/>
  <c r="G58" i="1"/>
  <c r="H57" i="1"/>
  <c r="I57" i="1" s="1"/>
  <c r="J57" i="1" s="1"/>
  <c r="H44" i="1"/>
  <c r="I44" i="1" s="1"/>
  <c r="J44" i="1" s="1"/>
  <c r="H26" i="1"/>
  <c r="I26" i="1" s="1"/>
  <c r="J26" i="1" s="1"/>
  <c r="H19" i="1"/>
  <c r="I19" i="1" s="1"/>
  <c r="J19" i="1" s="1"/>
  <c r="H29" i="1"/>
  <c r="I29" i="1" s="1"/>
  <c r="J29" i="1" s="1"/>
  <c r="H37" i="1"/>
  <c r="H36" i="1"/>
  <c r="I36" i="1" s="1"/>
  <c r="J36" i="1" s="1"/>
  <c r="H23" i="1"/>
  <c r="I23" i="1" s="1"/>
  <c r="J23" i="1" s="1"/>
  <c r="H41" i="1"/>
  <c r="I41" i="1" s="1"/>
  <c r="J41" i="1" s="1"/>
  <c r="H70" i="1"/>
  <c r="H52" i="1"/>
  <c r="I52" i="1" s="1"/>
  <c r="J52" i="1" s="1"/>
  <c r="H40" i="1"/>
  <c r="I40" i="1" s="1"/>
  <c r="J40" i="1" s="1"/>
  <c r="H18" i="1"/>
  <c r="I18" i="1" s="1"/>
  <c r="J18" i="1" s="1"/>
  <c r="H17" i="1"/>
  <c r="I17" i="1" s="1"/>
  <c r="J17" i="1" s="1"/>
  <c r="G32" i="1"/>
  <c r="G33" i="1" s="1"/>
  <c r="H56" i="1"/>
  <c r="I56" i="1" s="1"/>
  <c r="J56" i="1" s="1"/>
  <c r="G75" i="1"/>
  <c r="G76" i="1" s="1"/>
  <c r="B37" i="2"/>
  <c r="H38" i="1"/>
  <c r="I38" i="1" s="1"/>
  <c r="J38" i="1" s="1"/>
  <c r="D59" i="1"/>
  <c r="E59" i="1"/>
  <c r="Y9" i="1"/>
  <c r="C71" i="1"/>
  <c r="C72" i="1" s="1"/>
  <c r="C66" i="1"/>
  <c r="C67" i="1" s="1"/>
  <c r="C32" i="1"/>
  <c r="C33" i="1" s="1"/>
  <c r="H51" i="1"/>
  <c r="I51" i="1" s="1"/>
  <c r="J51" i="1" s="1"/>
  <c r="H43" i="1"/>
  <c r="I43" i="1" s="1"/>
  <c r="J43" i="1" s="1"/>
  <c r="H31" i="1"/>
  <c r="I31" i="1" s="1"/>
  <c r="J31" i="1" s="1"/>
  <c r="H30" i="1"/>
  <c r="I30" i="1" s="1"/>
  <c r="J30" i="1" s="1"/>
  <c r="H28" i="1"/>
  <c r="I28" i="1" s="1"/>
  <c r="J28" i="1" s="1"/>
  <c r="H25" i="1"/>
  <c r="I25" i="1" s="1"/>
  <c r="J25" i="1" s="1"/>
  <c r="H22" i="1"/>
  <c r="I22" i="1" s="1"/>
  <c r="J22" i="1" s="1"/>
  <c r="H7" i="1"/>
  <c r="I7" i="1" s="1"/>
  <c r="J7" i="1" s="1"/>
  <c r="H5" i="1"/>
  <c r="I5" i="1" s="1"/>
  <c r="J5" i="1" s="1"/>
  <c r="H4" i="1"/>
  <c r="I4" i="1" s="1"/>
  <c r="J4" i="1" s="1"/>
  <c r="H3" i="1"/>
  <c r="H39" i="1"/>
  <c r="I39" i="1" s="1"/>
  <c r="J39" i="1" s="1"/>
  <c r="H75" i="1"/>
  <c r="H76" i="1" s="1"/>
  <c r="C58" i="1"/>
  <c r="C59" i="1" s="1"/>
  <c r="K3" i="1"/>
  <c r="K75" i="1"/>
  <c r="K76" i="1" s="1"/>
  <c r="K66" i="1"/>
  <c r="K67" i="1" s="1"/>
  <c r="Z6" i="1" s="1"/>
  <c r="F58" i="1"/>
  <c r="F59" i="1" s="1"/>
  <c r="AA5" i="1" s="1"/>
  <c r="F32" i="1"/>
  <c r="F33" i="1" s="1"/>
  <c r="AA4" i="1" s="1"/>
  <c r="F75" i="1"/>
  <c r="F76" i="1" s="1"/>
  <c r="AA8" i="1" s="1"/>
  <c r="F66" i="1"/>
  <c r="F67" i="1" s="1"/>
  <c r="AA6" i="1" s="1"/>
  <c r="F72" i="1"/>
  <c r="AA7" i="1" s="1"/>
  <c r="H32" i="1" l="1"/>
  <c r="H33" i="1" s="1"/>
  <c r="J74" i="1"/>
  <c r="J75" i="1" s="1"/>
  <c r="J76" i="1" s="1"/>
  <c r="AB8" i="1" s="1"/>
  <c r="G36" i="2" s="1"/>
  <c r="I75" i="1"/>
  <c r="I76" i="1" s="1"/>
  <c r="I37" i="1"/>
  <c r="J37" i="1" s="1"/>
  <c r="J58" i="1" s="1"/>
  <c r="J59" i="1" s="1"/>
  <c r="H58" i="1"/>
  <c r="H59" i="1" s="1"/>
  <c r="H71" i="1"/>
  <c r="H72" i="1" s="1"/>
  <c r="I70" i="1"/>
  <c r="H66" i="1"/>
  <c r="H67" i="1" s="1"/>
  <c r="I63" i="1"/>
  <c r="J63" i="1" s="1"/>
  <c r="J66" i="1" s="1"/>
  <c r="J67" i="1" s="1"/>
  <c r="AB6" i="1" s="1"/>
  <c r="G29" i="2" s="1"/>
  <c r="K71" i="1"/>
  <c r="K72" i="1" s="1"/>
  <c r="Z7" i="1" s="1"/>
  <c r="AC8" i="1"/>
  <c r="I66" i="1"/>
  <c r="I67" i="1" s="1"/>
  <c r="AC6" i="1" s="1"/>
  <c r="AA9" i="1"/>
  <c r="C77" i="1"/>
  <c r="I3" i="1"/>
  <c r="K32" i="1"/>
  <c r="K33" i="1" s="1"/>
  <c r="Z4" i="1" s="1"/>
  <c r="G59" i="1"/>
  <c r="G72" i="1"/>
  <c r="F77" i="1"/>
  <c r="I81" i="1" s="1"/>
  <c r="Z8" i="1"/>
  <c r="I58" i="1" l="1"/>
  <c r="I59" i="1" s="1"/>
  <c r="J70" i="1"/>
  <c r="J71" i="1" s="1"/>
  <c r="J72" i="1" s="1"/>
  <c r="AB7" i="1" s="1"/>
  <c r="G35" i="2" s="1"/>
  <c r="I71" i="1"/>
  <c r="I72" i="1" s="1"/>
  <c r="AC7" i="1" s="1"/>
  <c r="H77" i="1"/>
  <c r="K58" i="1"/>
  <c r="K59" i="1" s="1"/>
  <c r="Z5" i="1" s="1"/>
  <c r="Z9" i="1" s="1"/>
  <c r="J3" i="1"/>
  <c r="J32" i="1" s="1"/>
  <c r="J33" i="1" s="1"/>
  <c r="AB4" i="1" s="1"/>
  <c r="G3" i="2" s="1"/>
  <c r="I32" i="1"/>
  <c r="I33" i="1" s="1"/>
  <c r="AC4" i="1" s="1"/>
  <c r="G77" i="1"/>
  <c r="AC5" i="1"/>
  <c r="I77" i="1" l="1"/>
  <c r="I83" i="1" s="1"/>
  <c r="K77" i="1"/>
  <c r="I80" i="1" s="1"/>
  <c r="AB5" i="1"/>
  <c r="G16" i="2" s="1"/>
  <c r="AC9" i="1"/>
  <c r="AB9" i="1"/>
  <c r="J77" i="1"/>
  <c r="I82" i="1" l="1"/>
  <c r="AB11" i="1"/>
  <c r="G37" i="2"/>
</calcChain>
</file>

<file path=xl/sharedStrings.xml><?xml version="1.0" encoding="utf-8"?>
<sst xmlns="http://schemas.openxmlformats.org/spreadsheetml/2006/main" count="270" uniqueCount="234">
  <si>
    <t>Informes de Ley</t>
  </si>
  <si>
    <t>Informe Pormenorizado de Control Interno</t>
  </si>
  <si>
    <t>Informe Avance al Plan de Mejoramiento (MVCT -FONVIVIENDA)</t>
  </si>
  <si>
    <t>Informe de Seguimiento a la Atención de la Oficina de PQR</t>
  </si>
  <si>
    <t>Informe de actualización del Sistema Ekogui</t>
  </si>
  <si>
    <t>Informe de Evaluación Institucional por Dependencias</t>
  </si>
  <si>
    <t>Informe Derechos de Autor Software</t>
  </si>
  <si>
    <t>Informe Ejecutivo Anual Evaluación del Sistema de Control Interno vigencia 2015</t>
  </si>
  <si>
    <t>Rendición de la Cuenta Fiscal MVCT -FONVIVIENDA 2015</t>
  </si>
  <si>
    <t>1 Informe 2016</t>
  </si>
  <si>
    <t>2 Informe 2016</t>
  </si>
  <si>
    <t>3 Informe 2016</t>
  </si>
  <si>
    <t>1er Informe 2016</t>
  </si>
  <si>
    <t>2do Informe 2016</t>
  </si>
  <si>
    <t>3er Informe 2016</t>
  </si>
  <si>
    <t>4to Informe 2016</t>
  </si>
  <si>
    <t>5to Informe 2016</t>
  </si>
  <si>
    <t>4to Informe 2015</t>
  </si>
  <si>
    <t>1er Informe 2016 (Julio Diciembre 2015)</t>
  </si>
  <si>
    <t>2do Informe 2016 (enero -junio 2016)</t>
  </si>
  <si>
    <t>2doInforme 2016 (Enero- Junio 2016)</t>
  </si>
  <si>
    <t xml:space="preserve">Fecha Inicio </t>
  </si>
  <si>
    <t>Fecha Finalización</t>
  </si>
  <si>
    <t>Unidad Medida Cantidad</t>
  </si>
  <si>
    <t>Informe Control Interno Contable Vigencia 2015 (MVCT- FVVDA)</t>
  </si>
  <si>
    <t>Cantidad ejecutada</t>
  </si>
  <si>
    <t>SEGUIMIENTOS</t>
  </si>
  <si>
    <t>Seguimiento a las Políticas de Seguridad del SIIF Nación</t>
  </si>
  <si>
    <t>Seguimiento al Plan Archivístico del MVCT</t>
  </si>
  <si>
    <t>Segumiento al proceso Concertación y Evaluación de los Acuerdos de Gestión</t>
  </si>
  <si>
    <t>Seguimiento a Inventarios y Vehículos</t>
  </si>
  <si>
    <t xml:space="preserve">Seguimiento a Comités Institucionales </t>
  </si>
  <si>
    <t>Seguimiento SECOP</t>
  </si>
  <si>
    <t>Seguimiento al reporte del Modelo Integrado Planeación y Gestión (FURAG)</t>
  </si>
  <si>
    <t>Seguimiento a la Ejecución Presupuestal</t>
  </si>
  <si>
    <t>Informe Seguimiento al SIGEP</t>
  </si>
  <si>
    <t>Auditorías</t>
  </si>
  <si>
    <t>Grupo de Apoyo y Soporte Informático y TIC</t>
  </si>
  <si>
    <t>Proyectos de Inversión</t>
  </si>
  <si>
    <t>Ejercicio de la Supervisión de contratos</t>
  </si>
  <si>
    <t>Oficina Asesora Jurídica</t>
  </si>
  <si>
    <t>Grupo de Titulación</t>
  </si>
  <si>
    <t>Tareas Programadas</t>
  </si>
  <si>
    <t>Auditoría Sistema Integrado de Gestión</t>
  </si>
  <si>
    <t>Otras Actividades</t>
  </si>
  <si>
    <t>Tareas Permanentes</t>
  </si>
  <si>
    <t>% Avance Físico</t>
  </si>
  <si>
    <t>Fecha Corte</t>
  </si>
  <si>
    <t xml:space="preserve">SUBTOTAL </t>
  </si>
  <si>
    <t>SUBTOTAL</t>
  </si>
  <si>
    <t>TOTAL</t>
  </si>
  <si>
    <t>Informes</t>
  </si>
  <si>
    <t>Seguimiento</t>
  </si>
  <si>
    <t>Auditoría</t>
  </si>
  <si>
    <t>Sistema Gestión Calidad</t>
  </si>
  <si>
    <t>Fomento Cultura Autocontrol</t>
  </si>
  <si>
    <t xml:space="preserve">Total </t>
  </si>
  <si>
    <t>Peso Específico</t>
  </si>
  <si>
    <t xml:space="preserve">Estructura Programa Anual Auditoría </t>
  </si>
  <si>
    <t>Evidencias y Comentarios
Enero</t>
  </si>
  <si>
    <t>Evidencias y Comentarios
Febrero</t>
  </si>
  <si>
    <t>Evidencias y Comentarios
Marzo</t>
  </si>
  <si>
    <t>Evidencias y Comentarios
Abril</t>
  </si>
  <si>
    <t>Evidencias y Comentarios
Mayo</t>
  </si>
  <si>
    <t>Evidencias y Comentarios
Junio</t>
  </si>
  <si>
    <t>Evidencias y Comentarios
Julio</t>
  </si>
  <si>
    <t>Evidencias y Comentarios
Agosto</t>
  </si>
  <si>
    <t>Evidencias y Comentarios
Septiembre</t>
  </si>
  <si>
    <t>Evidencias y Comentarios
Octubre</t>
  </si>
  <si>
    <t>Evidencias y Comentarios
Noviembre</t>
  </si>
  <si>
    <t>Evidencias y Comentarios
Diciembre</t>
  </si>
  <si>
    <t>Consec</t>
  </si>
  <si>
    <t>Encuesta MECI 2015 y Certificación Envio a DAFP 29/02/2016</t>
  </si>
  <si>
    <t>Evaluación SCIC  MVCT y Certificación CGN SHIP 2016/02/23.
Evaluación SCIC  FVVDA y Certificación CGN SHIP 2016/02/24</t>
  </si>
  <si>
    <t xml:space="preserve">Certificación Recibo a satisfacción CGR de la Cuenta Fiscal MVCT 11754122015-12-31 Generado 01/03/2016
</t>
  </si>
  <si>
    <t>Certificación Recibo a satisfacción CGR de la Cuenta Fiscal FVVDA 527122015-12-31 Generado 29/02/2016</t>
  </si>
  <si>
    <t xml:space="preserve">DECIMO PRIMER INFORME PORMENORIZADO DEL ESTADO DEL CONTROL INTERNO LEY 1474 DE 2011
Periodo Evaluado 01 de Noviembre 2015 al 29 de Febrero de 2016, Fecha de elaboración: 12 de Marzo de 2016
</t>
  </si>
  <si>
    <t>Con 2016EE0021302 de 15/03/2016 Informe Seguimiento EKOGUI Fvvda.
Con 2016EE0021270 15/03/2016 Informe Seguimiento EKOGUI MVCT</t>
  </si>
  <si>
    <t>2016IE0003343 de 18/03/2016 Informe Austeridad Gasto Público Cuarto Triemstre 2015</t>
  </si>
  <si>
    <t>Reporte Avance PM MVCT A 31/12(2105 - Reportado 08/02/2016.
Reporte Avance PM FVVDA a 31/12/2015 -23/01/2016.
Reporte SUSCRIPCION PM MVCT Vie 2014 Reportado 09/02/2016</t>
  </si>
  <si>
    <t>2016IE0001207 del 29/01/2016 Evaluación de la Gestión por Dependencias</t>
  </si>
  <si>
    <t>2016IE0003175 del 15/03/2016 se remite Informe Seguimiento SECOP de los contratos 01 a 100 correpondientes al primer mes 2016.</t>
  </si>
  <si>
    <t>20% peso específico del item informes</t>
  </si>
  <si>
    <t>20% peso específico del item Seguimiento</t>
  </si>
  <si>
    <t>40% peso específico del item Auditoría</t>
  </si>
  <si>
    <t>15% peso específico del item Tareas Programadas</t>
  </si>
  <si>
    <t>5% peso específico del item tareas permanentes</t>
  </si>
  <si>
    <t>Cumplimiento</t>
  </si>
  <si>
    <t>Seguimiento  a los Mapas de Riesgos y sus Controles (Operación)</t>
  </si>
  <si>
    <t>1 Publicaciones en el Boletín Escala, en la aparte denominado “Control Interno Comparte”, se han efectuado las siguientes publicaciones: 1. Boletín N° 42  bajo el título “ ¿ la Oficina de Control Interno es la Responsable?</t>
  </si>
  <si>
    <t xml:space="preserve">reportehttp: 200.31.21.201/ desarrollo/Informes_software/registra_ Informes_ </t>
  </si>
  <si>
    <t>Se tiene el preliminar del Informe de seguimiento a la evaluación de los acuerdos de gestión suscritos durante la vigencia 2015.</t>
  </si>
  <si>
    <t>SIGEP Informe de Auditoria Interna, del 08/04/2016 Seguimiento a la actualización de la declaración de bienes y rentas establecido en el Art 13 de la Ley 190 de 1995.</t>
  </si>
  <si>
    <t xml:space="preserve">Con 2016IE0004406 del 22/04/2016 Informe de verificación reportada por la Entidad a través del Formato Único Reporte Avance de la Gestión -FURAG 2015. </t>
  </si>
  <si>
    <t>Durante el mes de abril se dio inicio a una campaña de difusión de mensajes TIP dirigida a todos los servidores del MVCT a través de fondos de pantalla, Practica  el Autocontrol; Aporta al Sistema Control Interno; Tú eres la primera línea de defensa</t>
  </si>
  <si>
    <t>Seguimiento a Proceso contable</t>
  </si>
  <si>
    <t>Informe seguimiento Cajas Menores 116 Gastos Generales, 116 Viáticos y Gastos de Viaje Inversión FONVIVIENDA vigencia 2016 y 416  Viáticos y Gastos de Viaje Inversión MVCT 2016 con el objetivo de verificar y evaluar el adecuado manejo y custodia de los cuentadantes de las cajas menores auditadas ejercen sobre las mismas.</t>
  </si>
  <si>
    <t>El 31 de mayo 2016 se efectuó reunión con los jefes de las Oficinas de Control Interno de las entidades del sector, en la cual se abordaron entre otros temas los siguientes: Seguimiento a los resultados de la evaluación independiente del Modelo Estándar de Control Interno vig 2015. Se propuso matriz de seguimiento a los resultados de GESTIÓN Y RESULTADOS auditada por la CGR de las vigencias 2011 a 2004. Propuesta  por parte el MVCT para ser replicada en las entidades del sector para el seguimiento del Decreto de Austeridad en el Gasto.</t>
  </si>
  <si>
    <t>Con radicado 2016IE0006123 del 07/06/2016 se le dirige a la Ministra el Informe de seguimiento a la Evaluación de los Acuerdos de Gestión.</t>
  </si>
  <si>
    <t>Informe Austeridad en el GastoPúblico</t>
  </si>
  <si>
    <t>Informe Austeridad en el Gasto Público</t>
  </si>
  <si>
    <t>Fomentar la cultura del autocontrol (Entidad y Sectorial) 1 Publicación (31/12/2016)</t>
  </si>
  <si>
    <t>Memorando 2016IE0004652 del 24 de abril 2015 se le dirige al Ministro informe de Seguimiento a Mecanismos de Participación Ciudadana dando cumplimiento a la Ley 87/93, 1474 de 2011, Decreto 3571 de 2011, del periodo 18 de enero al 16 de marzo 2016.</t>
  </si>
  <si>
    <t>Con el 2016IE0006125 DEL 07/06/2016 (anulado) nuevo 2016IE0007776 del 05/07/2016  se le traslada a la Ministra, el informe de Austeridad del Gasto Público Primer Triemestre 2016  cuyo objetivo Verificar el cumplimiento de las políticas de Austeridad del Gasto Público al interior del MVCT durante el primer trimestre de la vigencia 2016, de conformidad con lo dispuesto en los Decretos 26 de 1998, 1737 de 1998, 984 de 2012, la Directiva Presidencial No.06 de diciembre 2014 y la Directiva Presidencial No 01 de del 10 de Febrero de 2016.</t>
  </si>
  <si>
    <t>Informe Bimestral de Hallazgos y Presuntos actos de corrupción detectados por la Oficina de Control Interno (NO se hace necesaria la presentación de este informe por efecto de la expedición de la Circular 01 de 2016 del Consejo Asesor del Gobierno Nacional en materia de Control Interno de las Entidades del Orden Nacional y territorial)</t>
  </si>
  <si>
    <t>En el presente mes se dio inicio a la Auditoria mediante la reunión de apertura del 16/06/2016.  Como actividades previas a la auditoria se efectuó asesoría y seguimiento a los Planes de Mejora de Recursos Físicos, Gestión de Comunicaciones, Atención del Usuarios y Archivo, Conceptos Jurídicos y  Procesos Judiciales, Gestión Contractual, Soporte y Apoyo Informático.</t>
  </si>
  <si>
    <t>No se ha iniciado la auditoría, aún no se decidido la contratatación por parte de las instancias competentes, pese a que la OCI remitió los documentos y estudios previos al Grupo de Contratos mediante el 2016IE0005276 del 13-05-2016</t>
  </si>
  <si>
    <t>Se llevo a cabo reunión el 29/06/2016 entre la OCI y la OAJ como actividad preparatoria de la Auditoria.</t>
  </si>
  <si>
    <t xml:space="preserve">   </t>
  </si>
  <si>
    <t xml:space="preserve">1.Se cuenta con la primera versión del informe de seguimiento de ejecución presupuestal de la vig 2016 . 
2. Se cuenta con la versión final del Informe de seguimiento a las reservas presupuestales constituidas con cargo a la vigencia 2015 </t>
  </si>
  <si>
    <t>Con 2016IE0008454 se envia a la Ministra informe seguimiento a la ejecución pptal con corte 30/06/2016 y de las Reservas Presupuestales del MVCT.
Con 2016IE0008485 se envia al Director de FVVDA informe de segunimiento a la ejecución pptal con corte 30/06/2016 y de las Reservas Pptales del MVCT</t>
  </si>
  <si>
    <t>Con 2016IE0007984 se presenta a la sra Ministra Informe de evaluación del Sistema de Control Interno Contable por cambio de representante legal en el MVCT</t>
  </si>
  <si>
    <t xml:space="preserve">Se cuenta con el preinforme de Auditoría cuyo objetivo es: Identificar las políticas de seguridad contenidas en el Decreto No 2674  de diciembre de 2012 y la Circular externa No 040 de octubre de 2015; expedidos por el Ministerio de Hacienda y Crédito Público, con el fin de analizar el grado de cumplimiento que el Ministerio de Vivienda ha dado a los lineamientos impartidos por el comité de seguridad del SIIF Nación, respecto a la política de Operación y seguridad teniendo en cuenta los aspectos legales para el establecimiento de responsabiliades y políticas para la ejecución segura del SIIF Nación. </t>
  </si>
  <si>
    <t>Se adelantó gestión para identificar los actos administrativos que crean los actuales comités del MVCT, y se enviaron los memorandos solicitando copias de las actas correspondientes a la vigencia 2015 y hasta marzo 2016 y se ha recibido respuesta de 8.</t>
  </si>
  <si>
    <t>Se cuenta con preinforme de seguimiento de los Comités Institucuionales</t>
  </si>
  <si>
    <t>Por medio de la Circular 05 del 24/06/2016 se establece entre otros aspectos que.
El JEFE DE OFICINA DE CONTROL INTERNO deberá remitir dos certificaciones
al año, en las cuales conste el cumplimiento de las obligaciones de cada uno de
los usuarios del Sistema Único de Gestión e Información Litigiosa del Estado
frente al Decreto 1069 de 2015 y a los instructivos expedidos para su correcta
utilización; las certificaciones corresponden a los periodos julio-diciembre, y
enero - 31, a más tardar el 28 de febrero y el 31 de agosto siguientes
respectivamente; deben ser remitidas al correo soporte.ekoqui(a3defensajuridica.qov.co (Por lo tanto el plazo de esta acción se modifica del 31/07/2016 al 30/08/2016)</t>
  </si>
  <si>
    <t>Se cuenta con preinforme</t>
  </si>
  <si>
    <t>Se cuenta con el preinforme de la Actividad de las Acciones de Seguimiento Acompañamiento Asesoría al 29/07/2016. anexo: Plan Mejoramiento Archivístico 28/06/2012 al 31/12/2015. y P/M 2016 final.
 Teniendo en cuenta lo establecido en el DECRETO 0106 DE 2015 (Enero 21) Por el cual se reglamenta el Título VIII de la Ley 594 de 2000 en materia de inspección, vigilancia y control a los archivos de las entidades del Estado y a los documentos de carácter privado declarados de interés cultural; y se dictan otras disposiciones.CAPÍTULO III Procedimiento de inspección Artículo 13. Visita de inspección. La función de inspección será realizada de oficio o a solicitud de parte por el Archivo General de la Nación,Parágrafo 2°. La Oficina de Control Interno de la entidad inspeccionada deberá realizar seguimiento y reportar trimestralmente al Archivo General de la Nación los avances del cumplimiento del PMA, se modifica la cantida de informes de 1 a 3, y fecha de cumplimiento al 15/11/2016</t>
  </si>
  <si>
    <t xml:space="preserve">Con corte a julio 30 se ha dado avanzado en el desarrollo del plan de auditorías de la vigencia 2016, por cuanto se ha dado cumplimiento con 8 de las 13 auditorías programadas:
1. Formulación y seguimiento de políticas de vivienda y Desarrollo Urbano y Territorial.
2. Formulación y seguimiento de Políticas de Agua.
3. Gestión de Proyectos en Vivienda.
4. Gestión del Subsidio.
5. Promoción y Acompañamiento en Vivienda.
6. Gestión de Recursos Físicos.
7. Atención al Usuario.
8.  Atención Legislativa Especializada.
La Oficina de Control Interno participa como auditor observador;  apoyando en la coordinación y la logística para el cabal desarrollo de las auditorias, así como en la elaboración de los formatos de evaluación de auditores los cuales son enviados mediante correo electrónico a los líderes del proceso para el trámite correspondiente; manteniendo una comunicación permanente con los auditores designados.
Teniendo en cuenta el cumplimiento del plan de auditorías y la gestión adelantada para su consecución, se refleja una ejecución del 71% en esta meta.
</t>
  </si>
  <si>
    <t>Con 2016IE0009285 del 19/08/2016 Se remite a la Ministra el Décimosegundo Informe Pormenorizado de Control Interno</t>
  </si>
  <si>
    <t>Con 2016EE78279 del 26/08/2016 Informe Seguimiento EKOGUI Enero -junio de 2016 cumplimiento del DECRETO 1069 /2015 Seguimiento a la gestión, el uso adecuado y la información contenida en el Sistema único Gestión Litigiosa del Estado -EKOGUI.-FONVIVIENDA.</t>
  </si>
  <si>
    <t>Con 2016IE0009367 del 23/08/2016 se envia a la Ministra Informe de Seguimiento a COMITÉS</t>
  </si>
  <si>
    <t>Con 2016IE0009396 del 23/08/2016 se presenta Informe de Seguimiento SIIF Nación II -Cumplimiento del Decreto 2674 de 2012 y la Circular Externa 040/2015.</t>
  </si>
  <si>
    <t>Se cuenta con el Informe final de Auditoría Interna SIG del 08/09/2016, Resultado de la Auditoría Interna de Calidad realizada entre el 27 de junio al 31 de agosto de 2016, a 13 procesos verificando la eficacia, efectividad,y eficiencia de los puntos de control establecidos en los procesos, procedimientos, formatos, etc. Ycon la presentación del cierre de auditoría el 31 de agosto de 2016.</t>
  </si>
  <si>
    <t>Con 2016IE0010067 del 8/09/2016 se presenta informe de seguimiento al SIGEP  con alcance al proceso de vinculación entidad al 31/08/2016</t>
  </si>
  <si>
    <t>Se cuenta com el preinforme en la fase de  socialización con las áreas interesadas, luego de lo cual se procede a su liberación.</t>
  </si>
  <si>
    <t>Seguimiento al Plan Anticorrupción y de Atención al Ciudadano</t>
  </si>
  <si>
    <t>Se cuenta con preinforme, pendiente socilaización y liberación</t>
  </si>
  <si>
    <t>Se presentó propuesta a las entidades sectoriales sobre la campaña, la cual fue aprobada.</t>
  </si>
  <si>
    <t>También es pertinente indicar que el ítem destinado a las actividades de auditoría interna presenta un cumplimiento y avance del 0%, las cuales se encuentra en fase de planeación, con fecha de finalización en el mes de Noviembre de 2016. Es importante aclarar que la Oficina de Control Interno adelantó los procesos de contratación necesarios para efectuar las auditorías al Grupo de Apoyo y Soporte Informático y TIC y a los proyectos de inversión, procesos que se encuentran en trámite de contratacióN</t>
  </si>
  <si>
    <t xml:space="preserve">CON 2016IE0010214 del 12/09/2016 se dirige a Ministra el Informe de Sequimiento a Mecanismos de Participación Ciudadadana </t>
  </si>
  <si>
    <t>Con 2016IE0010514 del  19/09/2016 se remite informe a  la Ministra del Seguimiento a los bienes muebles y vehículos de uso del MVCT 2016</t>
  </si>
  <si>
    <t xml:space="preserve">Con 2016IE0010497 del 16-09-2016   Informe correspondiente al seguimiento al cumplimiento a lo estipulado en los Decretos sobre Austeridad en el Gasto Público en el MVCT </t>
  </si>
  <si>
    <t>Con 2016IE0010553 del 20/09/2016 se presenta informes se SEGUIEMIENTO  SECOP-SIGEP</t>
  </si>
  <si>
    <t>El plan de Fomento de la cultura del autocontrol durante el presente mes, avanzó: con el diseño de los afiches en trámite para su edición por parte del Grupo de Comunicaciones Estratégicas; con la publicación  en el Boletín Escala In N° 56 En Control Interno Comparte - “10 Tips de Politicas para Prevenir la Corrupción y el Fraude” y  Las nota sobre el Cierre de las Auditoría Internas SIG, y con los contenidos de las 4 mensajes Tips para ser difundidos como fondos de pantalla.</t>
  </si>
  <si>
    <t xml:space="preserve">Sobre los mismos protectores de pantalla ya publicados se publicarán nuevamente profundizando en el contenido de los Tips
Boletín 58 1-15 de octubre 2016, Nota Fotográfica de la  Diapositiva: "Túe eres Parte ewsencial del SCI.
En el aparte: Control Interno Comparte: se puiblica la nota "Hay que promover la Profesionalización de la Auditoría Interno" tomado del Congreso de Auditoría adelantada en Bogotá 2016. Boletín 59 - 15-31 de octubre 2016 se publica bajo el aparte "Fórmulas y buenas maneras" la diapositiva "Tú eres parte esencial del Sistema de Control Interno" y bajo el aparte "Contro Interno Comparte" se publica la nota "Hay que acabar con la puerta giratorias de control y corrupción". Capacitación 20 de octubre 2016 AUTOVALORACIÓN DEL CONTROL Metodología que puede ser usada por los servidores y las OCI para evaluar la Admón. Del Riesgo y el SCI, además de fortalecer el autocontrol. </t>
  </si>
  <si>
    <t>PBEC</t>
  </si>
  <si>
    <t>PBEA</t>
  </si>
  <si>
    <t>Cumplimiento del Plan de Mejoramiento</t>
  </si>
  <si>
    <t>CPM = POMMVi / PBEC</t>
  </si>
  <si>
    <t>Avance del plan de Mejoramiento</t>
  </si>
  <si>
    <t>AP =  POMi / PBEA</t>
  </si>
  <si>
    <t>Puntaje base de evaluación de avance
Actividades Plazo en Semanas</t>
  </si>
  <si>
    <t>Puntaje logrado por las actividades 
PLAI</t>
  </si>
  <si>
    <t>Puntaje logrado por las actividades vencidas
PLAVI</t>
  </si>
  <si>
    <t>Puntaje atribuido por las actividades vencidas
PAAVI</t>
  </si>
  <si>
    <t>Plazo en Semanas</t>
  </si>
  <si>
    <t>Puntaje base de evaluación de cumplimiento
Puntaje Atribuido a las actividades vencidas PAAVI</t>
  </si>
  <si>
    <t>Avance
Fecha Final</t>
  </si>
  <si>
    <t>Cumplimiento
Fecha de corte</t>
  </si>
  <si>
    <t>Plazo en semanas</t>
  </si>
  <si>
    <t>Con 2016IE0012564 Se presenta Informe de Evaluación Parcial Sistema de Control Interno Contable de Fonvivienda Vigencia 2016</t>
  </si>
  <si>
    <t>Con 2016IE0012186 Se presenta Informe de Auditoría Proceso Gestión Jurídica Oficina Asesora Jurídica</t>
  </si>
  <si>
    <t xml:space="preserve">Con 2016IE0012938 Informe Auditorías Supervisión de Contratos </t>
  </si>
  <si>
    <t>Con 2016IE0012213 Informe de seguimiento se realiza sobre los contratos realizados por la Entidad entre el 1 y el 21 de octubre de 2016.</t>
  </si>
  <si>
    <t xml:space="preserve">Boletín 60 -1 al 15 Noviembre 2016 se publica bajo al aparte 1. "Control Interno Comparte" el artículo "Delitos informáticos amenazan la auditoría mundial" Práctica de Autocontrol: Lara Rojano. Boletín 61 -15-30 Noviembre 2016 se publica bajo al aparte 1. "Control Interno Comparte" se publica una nota sobr la "Primera Linea de Defensa.
Difusión de 2 Afiches sobre Autocontrol en sitios estratégicos del MVCT y FNA y CRA. Lista de asistencia capacitación Planes Mejoramiento y Presentación expuesta por Jefe de Control Interno de la Supersalud.
Difusión de 2 Afiches sobre Autocontrol en sitios estratégicos del MVCT y FNA y CRA.
Plegable Aprendamos Control Interno distribuidos en el MVCT según lista de distribución adjunta.
Lista de asistencia capacitación Planes Mejoramiento y Presentación expuesta por Jefe de Control Interno de la Supersalud.
Lista de Asistencia y PP expuesta por el Dr. Oscar Figueroa Constratista del VASB.
</t>
  </si>
  <si>
    <t>2016IE0012564  INFORME DE EVALUACIÓN PARCIAL AL SISTEMA DE CONTROL INTERNO CONTABLE DE FVVDA con corte a 30/09/2016 radicado 2016IE0012564 del 10/11/2016</t>
  </si>
  <si>
    <t>Con 2016IE0014645 del 27/12/2016 se presenta el Décimo tercer informe pormenorizado de Control Interno en cumplimiento de la Ley 1474 de 2011</t>
  </si>
  <si>
    <t>Retirado del Programa Anual de Auditoría por decisión del  Comité de Coordinación de Control Interno en su sesión del  06 de Diciembre de 2016. Deberá incluirde en el Programa Anual de Auditoría de la vigencia 2017.</t>
  </si>
  <si>
    <t xml:space="preserve">Informe  Ejecutivo Anual de Evaluación del Sistema </t>
  </si>
  <si>
    <t>Actividades</t>
  </si>
  <si>
    <t>Informe Control Interno Contable</t>
  </si>
  <si>
    <t>Rendición de la Cuenta Fiscal  MVCT FONVIVIENDA</t>
  </si>
  <si>
    <t>Informe Bimestral de Hallazgos</t>
  </si>
  <si>
    <t>Informe Avance en el Plan de Mejoramiento (MVCT- FOMVIVIENDA)</t>
  </si>
  <si>
    <t>Informe Seguimiento a la Atención  de PQR</t>
  </si>
  <si>
    <t>Informe Actualización de Sistema Ekogui</t>
  </si>
  <si>
    <t>Informe Evaluación Institucional por Dependencias</t>
  </si>
  <si>
    <t>Subtotal</t>
  </si>
  <si>
    <t>Cantidad de Actividades Anuales Programadas</t>
  </si>
  <si>
    <t>Cantidad de Actividades Anuales Ejecutadas</t>
  </si>
  <si>
    <t>Mapas de Riesgos y sus Controles</t>
  </si>
  <si>
    <t>Políticas de Seguridad del SIIF Nación</t>
  </si>
  <si>
    <t>Plan Archivístico del MVCT</t>
  </si>
  <si>
    <t>Proceso Concertación y Evaluación a los Acuerdos de Gestión</t>
  </si>
  <si>
    <t>Inventarios y Vehículos</t>
  </si>
  <si>
    <t xml:space="preserve">Comités Institucionales </t>
  </si>
  <si>
    <t>Proceso Contable</t>
  </si>
  <si>
    <t>Sistema Electrónico para la Contratación Pública -SECOP</t>
  </si>
  <si>
    <t>Seguimiento al reporte del Modelo Integrado de Planeación  y Gestión -FURAG</t>
  </si>
  <si>
    <t>Ejecución Presupuestal</t>
  </si>
  <si>
    <t>Plan Anticorrupción y Atención al Ciudadano</t>
  </si>
  <si>
    <t>Sistema de Información y Empleo Público</t>
  </si>
  <si>
    <t>Grupo de Apoyo y Soporte Informático  y Ofitic</t>
  </si>
  <si>
    <t>Ejercicio de Supervisión de Contratos</t>
  </si>
  <si>
    <t xml:space="preserve">Grupo de Titulación </t>
  </si>
  <si>
    <t>1 Ciclo Auditoría Sistema Gestión Calidad</t>
  </si>
  <si>
    <t>1 Programa de Fomento Cultura Autocontrol</t>
  </si>
  <si>
    <t>Fecha Corte 31/12/2016</t>
  </si>
  <si>
    <t>Por efecto de la expedición de la Circular 01 de 2016 del Consejo Asesor del Gobierno Nacional en materia de Control Interno de las Entidades del Orden Nacional y territorial no se debe continuar con la elaboración del informe.</t>
  </si>
  <si>
    <t>Informes de 
Seguimiento</t>
  </si>
  <si>
    <t>Informes
 de Ley</t>
  </si>
  <si>
    <t>Tareas
 Permanentes</t>
  </si>
  <si>
    <t>Otras 
Actividades</t>
  </si>
  <si>
    <t>Total</t>
  </si>
  <si>
    <t>Retirado del Programa Anual de Auditoría por solicitud justificadas del Jefe de la Oficina de Control Interno y aprobada por el  Comité de Coordinación de Control Interno en su sesión del  06 de Diciembre de 2016. Deberá incluirse en el Programa Anual de Auditoría de la vigencia 2017.</t>
  </si>
  <si>
    <t>Evidencias</t>
  </si>
  <si>
    <t>Encuesta MECI - Certificación Envío a DAFP 19/02/2016</t>
  </si>
  <si>
    <t>Evaluación SCIC MVCT CGN SHIP 23/02/2016 
Evaluación SCIC FVVDA CGN SHIP 24/02/2016 
Evaluación Parcial FVVDA SCIC Vig 2016 Rad 2016IE0012564</t>
  </si>
  <si>
    <t>Certificación Recibo a Satisfacción CGR de la Cuenta Fiscal 2015</t>
  </si>
  <si>
    <t xml:space="preserve">Certificación Recibo a satisfacción CGR de la Cuenta Fiscal FVVDA 527122015-12-31 Generado 29/02/2016
Certificación Recibo a satisfacción CGR de la Cuenta Fiscal MVCT 11754122015-12-31 Generado 01/03/2016
</t>
  </si>
  <si>
    <t xml:space="preserve">Informe Pormenorizado de Control Interno </t>
  </si>
  <si>
    <t>Informe Pormemorizado de Control InternoLEY 1474 DE 2011</t>
  </si>
  <si>
    <t xml:space="preserve">Décimo Primer Informe Periodo Evaluado 01 /11/2015  2015 al 29 /02/2016
Décimosegundo Informe 2016IE0009285 del 19/08/2016 periodo evaluado 01/03/2016 al 30/06/2016
Décimo tercer informe 2016IE0014645 del 27/12/2016 periodo evaluado 01/07/2016 al 31/12/2016 </t>
  </si>
  <si>
    <t>Con 2016IE0012189 del 31/10/2016 se hace segumiento al tercer trimestre 2016 Austeridasd del GASTOI</t>
  </si>
  <si>
    <t xml:space="preserve">2016IE0003343 de 18/03/2016  Cuarto Trimestre 2015.
2016IE0007776 del 05/07/2016  Primer Trimestre 2016
2016IE0010497 del 16-09-2016   Segundo Trimestre 2016 2016IE0012189 del 31/10/2016 Tercer trimestre 2016 </t>
  </si>
  <si>
    <t>Certificado 52720160630 -3 FVVDA informe seguimiento 30062016
Certificado 11754-20160630-3 MVCT Informe Seguimiento 30062016</t>
  </si>
  <si>
    <t>Reporte Avance PM MVCT A 31/12/2105 - Reportado 08/02/2016.
Reporte Avance PM FVVDA a 31/12/2015 -23/01/2016.
Reporte SUSCRIPCION PM MVCT Vig 2014 Reportado 09/02/2016
Certificado 52720160630 -3 FVVDA informe seguimiento 30062016
Certificado 11754-20160630-3 MVCT Informe Seguimiento 30062016</t>
  </si>
  <si>
    <t xml:space="preserve">2016IE0004652 24/04/2016 
2016IE0010214 del 12/09/2016 </t>
  </si>
  <si>
    <t>2016EE0021302 de 15/03/2016 Informe Seguimiento EKOGUI Fvvda.
2016EE0021270 15/03/2016 Informe Seguimiento EKOGUI MVCT
2016EE78279 del 26/08/2016 Informe Seguimiento EKOGUI Enero -junio de 2016</t>
  </si>
  <si>
    <t xml:space="preserve"> Informe resportado a través de :reportehttp: 200.31.21.201/ desarrollo/Informes_software/registra_ Informes_ </t>
  </si>
  <si>
    <t>2016IE0009396 del 23/08/2016 se presenta Informe de Seguimiento SIIF Nación II -Cumplimiento del Decreto 2674 de 2012 y la Circular Externa 040/2015.</t>
  </si>
  <si>
    <t>Con 2016IE0014854 del 30/12/2016 se adjunta el informe de seguimiento al Plan de Mejoramiento Archivístico Correspondiente al 3/42016</t>
  </si>
  <si>
    <t>2016IE0006123 del 07/06/2016 Informe de seguimiento a la Evaluación de los Acuerdos de Gestión.</t>
  </si>
  <si>
    <t>2016IE0010514 del  19/09/2016 Seguimiento a los bienes muebles y vehículos de uso del MVCT 2016</t>
  </si>
  <si>
    <t>2016IE0009367 del 23/08/2016 Informe de Seguimiento a COMITÉS</t>
  </si>
  <si>
    <t xml:space="preserve">2016IE0007984 Informe de evaluación del Sistema de Control Interno Contable por cambio de representante legal en el MVCT
2016IE0012564 10/11/2016  Informe Evaluación Parcial al Sistema Control Interno Contable de FVVDA, corte  30/09/2016 </t>
  </si>
  <si>
    <t xml:space="preserve">2016IE0004406 del 22/04/2016 Verificación reportada por la Entidad a través del Formato Único Reporte Avance de la Gestión -FURAG 2015. </t>
  </si>
  <si>
    <t xml:space="preserve">2016IE0014049 del 14/12/2016 Informe Segumineto Ejecución Presupuestal MVCT </t>
  </si>
  <si>
    <t xml:space="preserve">Informe seguimiento Cajas Menores 116 Gastos Generales, 116 Viáticos y Gastos de Viaje Inversión FONVIVIENDA vigencia 2016 y 416  Viáticos y Gastos de Viaje Inversión MVCT 2016.
2016IE0008454  Ejecución pptal con corte 30/06/2016 y de las Reservas Presupuestales del MVCT.
2016IE0008485  Ejecución pptal con corte 30/06/2016 y de las Reservas Pptales de FVVDA
2016IE0014049 del 14/12/2016 Ejecución Pptal 30/10/2016 MVCT </t>
  </si>
  <si>
    <t>SIGEP Informe de Auditoria Interna, del 08/04/2016 Seguimiento a la actualización de la declaración de bienes y rentas establecido en el Art 13 de la Ley 190 de 1995.
Con 2016IE0010067 del 8/09/2016 se presenta informe de seguimiento al SIGEP  con alcance al proceso de vinculación entidad al 31/08/2016</t>
  </si>
  <si>
    <t xml:space="preserve">2016IE0003175 del 15/03/2016 Seguimiento SECOP de los contratos 01 a 100 correpondientes al primer mes 2016.
Con 2016IE0010553 del 20/09/2016 SEGUIEMIENTO  SECOP-SIGEP
Con 2016IE0012213 Seguimiento contratos realizados entre el 1 y el 21 de octubre de 2016. 
</t>
  </si>
  <si>
    <t>Informe Seguimiento 06/04/2016: Verificar los pasos para la construcción y evidenciar la publicación del Plan Anticorrupción y Atención al Ciudadano del Ministerio de Vivienda Ciudad y Territorio y FONVIVIENDA de la vigencia 2016. fecha corte 31/03/2016</t>
  </si>
  <si>
    <t>Con  2016IE0010214 del 12/09/2016  se presenta informe Primer semestre 2016 (24/08/2016) Primer semestre 2016  Atención yservicio al usuario, 
Informe del 14/09/2016 Segundo Cuatrimestre  (al 31/08/2016)  Seguimiento a los avances de las actividades establecidas en el Plan Anticorrupción y Atención al Ciudadano del Ministerio de Vivienda Ciudad y Territorio matriz de seguimiento y presentación PP.</t>
  </si>
  <si>
    <t>Con 2016IE0004652 del 28/04/2016 presenta el informe de Seguimiento a Mecanismos de Participación Ciudadana 12/04/2016  en cumplimiento de las funciones establecidas en la Ley 87 de 1993, el Artículo 8 del Decreto 3571 de 2011 ha realizado seguimiento a la estructuración y publicación del Plan Anticorrupción y atención al Ciudadano del Ministerio de Vivienda Ciudad y Territorio correspondiente a la vigencia 2016, teniendo en cuenta los aspectos y componentes de dicho Plan. Publicado http://www.minvivienda.gov.co/sobre-el-ministerio/planeacion-gestion-y-control/control-interno/seguimiento-al-plan-anticorrupci%C3%B3n-y-de-atenci%C3%B3n-al-ciudadano 
Informe Primer Cuatrimestre 2016 seguimiento 30/04/2016</t>
  </si>
  <si>
    <t xml:space="preserve">Cumplimiento total de las nueve actividades con sus correspondientes tareas programadas por la Oficina de Control Interno para llevar a cabo el Fomento de la Cultura del Autocontrol, el cual comprendió actividades la sensibilización y capacitación, </t>
  </si>
  <si>
    <t xml:space="preserve">Preinforme de la Actividad de las Acciones de Seguimiento Acompañamiento Asesoría al 29/07/2016. anexo: Plan Mejoramiento Archivístico 28/06/2012 al 31/12/2015. y P/M 2016 final.
2016IE0014854 del 30/12/2016 se adjunta el informe de seguimiento al Plan de Mejoramiento Archivístico Correspondiente al 3/4/2016
</t>
  </si>
  <si>
    <t>Con 2017IE0000266 del 16/01/2017 se presenta informe de seguimiento al proceso de Gestión y Tecnología de Información y Gestión de Soporte y Apoyo Informático.</t>
  </si>
  <si>
    <t xml:space="preserve"> 2017IE0000266 del 16/01/2017 se presenta informe de seguimiento al proceso de Gestión y Tecnología de Información y Gestión de Soporte y Apoyo Informático.</t>
  </si>
  <si>
    <r>
      <t xml:space="preserve">1.Informe Seguimiento 06/04/2017: Verificar construcción y la publicación del Plan Anticorrupción y Atención al Ciudadano de la vigencia 2016. corte 31/03/2016
2.Informe Primer Cuatrimestre 2016 seguimiento 30/04/2016
3.2016IE0004652 28/04/2016 Informe de Seguimiento a Mecanismos de Participación Ciudadana 12/04/2016  
4. Informe Seguimiento del 14/09/2016 Segundo Cuatrimestre  (al 31/08/2016)  a los  avances actividades establecidas en el Plan Anticorrupción y Atención al Ciudadano del Ministerio de Vivienda Ciudad y Territorio matriz de seguimiento y presentación PP.
</t>
    </r>
    <r>
      <rPr>
        <sz val="11"/>
        <rFont val="Calibri"/>
        <family val="2"/>
        <scheme val="minor"/>
      </rPr>
      <t>5. 2017IE0000312 del 16/01/2016 Se presenta informe sobre Acciones de Seguimiento, Acompañamiento y Asesoría  al Plan Anticorrupción y Atención al Ciudadano Versión 2.0</t>
    </r>
  </si>
  <si>
    <t>Con 2017IE0000312 del 16/01/2017 Se presenta informe sobre Acciones de Seguimiento, Acompañamiento y Asesoría  al Plan Anticorrupción y Atención al Ciudadano Versión 2.0</t>
  </si>
  <si>
    <t>Con 2017IE0000119 del 11/01/2017 se presenta informe de Auditoría Gruó de Titulación y Saneamiento Predial</t>
  </si>
  <si>
    <t>2017IE0000119 del 11/01/2017 se presenta informe de Auditoría Gruó de Titulación y Saneamiento Predial</t>
  </si>
  <si>
    <t>Informe  de 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</si>
</sst>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quot;\ #,##0.00"/>
  </numFmts>
  <fonts count="13"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sz val="11"/>
      <color theme="1"/>
      <name val="Verdana"/>
      <family val="2"/>
    </font>
    <font>
      <sz val="11"/>
      <color theme="9" tint="-0.249977111117893"/>
      <name val="Calibri"/>
      <family val="2"/>
      <scheme val="minor"/>
    </font>
    <font>
      <b/>
      <sz val="14"/>
      <name val="Arial"/>
      <family val="2"/>
    </font>
    <font>
      <b/>
      <sz val="16"/>
      <color indexed="8"/>
      <name val="Arial"/>
      <family val="2"/>
    </font>
    <font>
      <sz val="10"/>
      <color theme="1"/>
      <name val="Calibri"/>
      <family val="2"/>
      <scheme val="minor"/>
    </font>
    <font>
      <b/>
      <sz val="14"/>
      <color indexed="8"/>
      <name val="Arial"/>
      <family val="2"/>
    </font>
  </fonts>
  <fills count="18">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0070C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1">
    <xf numFmtId="0" fontId="0" fillId="0" borderId="0" xfId="0"/>
    <xf numFmtId="0" fontId="0" fillId="0" borderId="0" xfId="0" applyAlignment="1">
      <alignment horizontal="justify" vertical="center" wrapText="1"/>
    </xf>
    <xf numFmtId="0" fontId="0" fillId="0" borderId="0" xfId="0"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Fill="1" applyBorder="1" applyAlignment="1">
      <alignment horizontal="justify" vertical="center" wrapText="1"/>
    </xf>
    <xf numFmtId="14" fontId="0" fillId="0" borderId="1" xfId="0" applyNumberFormat="1" applyBorder="1" applyAlignment="1">
      <alignment horizontal="justify" vertical="center" wrapText="1"/>
    </xf>
    <xf numFmtId="0" fontId="1" fillId="4" borderId="1" xfId="0" applyFont="1" applyFill="1" applyBorder="1" applyAlignment="1">
      <alignment horizontal="justify" vertical="center" wrapText="1"/>
    </xf>
    <xf numFmtId="14" fontId="1" fillId="4" borderId="1" xfId="0" applyNumberFormat="1" applyFont="1" applyFill="1" applyBorder="1" applyAlignment="1">
      <alignment horizontal="justify" vertical="center" wrapText="1"/>
    </xf>
    <xf numFmtId="0" fontId="1" fillId="3" borderId="1" xfId="0" applyFont="1" applyFill="1" applyBorder="1" applyAlignment="1">
      <alignment horizontal="center" vertical="center"/>
    </xf>
    <xf numFmtId="0" fontId="0" fillId="0" borderId="1" xfId="0" applyBorder="1" applyAlignment="1">
      <alignment horizontal="justify" vertical="center"/>
    </xf>
    <xf numFmtId="0" fontId="3" fillId="3" borderId="1" xfId="0" applyFont="1" applyFill="1" applyBorder="1" applyAlignment="1">
      <alignment horizontal="justify" vertical="center"/>
    </xf>
    <xf numFmtId="10" fontId="3" fillId="3" borderId="1" xfId="0" applyNumberFormat="1" applyFont="1" applyFill="1" applyBorder="1" applyAlignment="1">
      <alignment horizontal="center" vertical="center"/>
    </xf>
    <xf numFmtId="14" fontId="5" fillId="0" borderId="1" xfId="0" applyNumberFormat="1" applyFont="1" applyBorder="1" applyAlignment="1">
      <alignment horizontal="justify" vertical="center" wrapText="1"/>
    </xf>
    <xf numFmtId="0" fontId="2" fillId="5" borderId="2" xfId="0" applyFont="1" applyFill="1" applyBorder="1" applyAlignment="1">
      <alignment horizontal="justify" vertical="center" wrapText="1"/>
    </xf>
    <xf numFmtId="0" fontId="0" fillId="4" borderId="1" xfId="0" applyFill="1" applyBorder="1" applyAlignment="1">
      <alignment horizontal="justify" vertical="center" wrapText="1"/>
    </xf>
    <xf numFmtId="0" fontId="2" fillId="6" borderId="1" xfId="0" applyFont="1" applyFill="1" applyBorder="1" applyAlignment="1">
      <alignment horizontal="justify" vertical="center" wrapText="1"/>
    </xf>
    <xf numFmtId="0" fontId="1" fillId="6" borderId="1" xfId="0" applyFont="1" applyFill="1" applyBorder="1" applyAlignment="1">
      <alignment horizontal="justify" vertical="center" wrapText="1"/>
    </xf>
    <xf numFmtId="0" fontId="3" fillId="10" borderId="1" xfId="0" applyFont="1" applyFill="1" applyBorder="1" applyAlignment="1">
      <alignment horizontal="justify" vertical="center" wrapText="1"/>
    </xf>
    <xf numFmtId="14" fontId="0" fillId="0" borderId="1" xfId="0" applyNumberFormat="1" applyFill="1" applyBorder="1" applyAlignment="1">
      <alignment horizontal="justify" vertical="center" wrapText="1"/>
    </xf>
    <xf numFmtId="0" fontId="2" fillId="8" borderId="1" xfId="0" applyFont="1" applyFill="1" applyBorder="1" applyAlignment="1">
      <alignment horizontal="justify" vertical="center" wrapText="1"/>
    </xf>
    <xf numFmtId="0" fontId="0" fillId="3" borderId="1" xfId="0" applyFill="1" applyBorder="1" applyAlignment="1">
      <alignment horizontal="justify" vertical="center" wrapText="1"/>
    </xf>
    <xf numFmtId="0" fontId="0" fillId="11" borderId="1" xfId="0" applyFill="1" applyBorder="1" applyAlignment="1">
      <alignment horizontal="justify" vertical="center" wrapText="1"/>
    </xf>
    <xf numFmtId="0" fontId="1" fillId="13" borderId="1" xfId="0" applyFont="1" applyFill="1" applyBorder="1" applyAlignment="1">
      <alignment horizontal="justify" vertical="center" wrapText="1"/>
    </xf>
    <xf numFmtId="0" fontId="0" fillId="13" borderId="1" xfId="0" applyFill="1" applyBorder="1" applyAlignment="1">
      <alignment horizontal="justify" vertical="center" wrapText="1"/>
    </xf>
    <xf numFmtId="14" fontId="0" fillId="13" borderId="1" xfId="0" applyNumberFormat="1" applyFill="1" applyBorder="1" applyAlignment="1">
      <alignment horizontal="justify" vertical="center" wrapText="1"/>
    </xf>
    <xf numFmtId="14" fontId="1" fillId="13" borderId="1" xfId="0" applyNumberFormat="1" applyFont="1" applyFill="1" applyBorder="1" applyAlignment="1">
      <alignment horizontal="justify" vertical="center" wrapText="1"/>
    </xf>
    <xf numFmtId="0" fontId="1" fillId="3" borderId="1" xfId="0" applyFont="1" applyFill="1" applyBorder="1" applyAlignment="1">
      <alignment vertical="center"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12" borderId="1" xfId="0" applyFill="1" applyBorder="1" applyAlignment="1">
      <alignment horizontal="justify" vertical="center" wrapText="1"/>
    </xf>
    <xf numFmtId="0" fontId="4" fillId="13" borderId="1" xfId="1" applyFill="1" applyBorder="1" applyAlignment="1">
      <alignment horizontal="justify" vertical="center" wrapText="1"/>
    </xf>
    <xf numFmtId="0" fontId="1" fillId="0" borderId="1" xfId="0" applyFont="1" applyBorder="1" applyAlignment="1">
      <alignment horizontal="justify" vertical="center" wrapText="1"/>
    </xf>
    <xf numFmtId="4" fontId="0" fillId="0" borderId="4" xfId="0" applyNumberFormat="1" applyBorder="1" applyAlignment="1">
      <alignment horizontal="justify" vertical="center" wrapText="1"/>
    </xf>
    <xf numFmtId="0" fontId="1" fillId="8" borderId="1" xfId="0" applyFont="1" applyFill="1" applyBorder="1" applyAlignment="1">
      <alignment horizontal="justify" vertical="center" wrapText="1"/>
    </xf>
    <xf numFmtId="9" fontId="1"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1" fillId="3" borderId="3" xfId="0" applyFont="1" applyFill="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3" fillId="3" borderId="1" xfId="0" applyFont="1" applyFill="1" applyBorder="1" applyAlignment="1">
      <alignment horizontal="justify" vertical="center" wrapText="1"/>
    </xf>
    <xf numFmtId="10" fontId="0" fillId="0" borderId="0" xfId="0" applyNumberFormat="1" applyAlignment="1">
      <alignment horizontal="justify" vertical="center" wrapText="1"/>
    </xf>
    <xf numFmtId="4" fontId="0" fillId="0" borderId="0" xfId="0" applyNumberFormat="1" applyAlignment="1">
      <alignment horizontal="justify" vertical="center" wrapText="1"/>
    </xf>
    <xf numFmtId="14" fontId="0" fillId="4" borderId="1" xfId="0" applyNumberFormat="1" applyFill="1" applyBorder="1" applyAlignment="1">
      <alignment horizontal="justify" vertical="center" wrapText="1"/>
    </xf>
    <xf numFmtId="0" fontId="1" fillId="5" borderId="1" xfId="0" applyFont="1" applyFill="1" applyBorder="1" applyAlignment="1">
      <alignment horizontal="justify" vertical="center" wrapText="1"/>
    </xf>
    <xf numFmtId="0" fontId="2" fillId="5" borderId="1" xfId="0" applyFont="1" applyFill="1" applyBorder="1" applyAlignment="1">
      <alignment horizontal="justify" vertical="center" wrapText="1"/>
    </xf>
    <xf numFmtId="10" fontId="2" fillId="5" borderId="1" xfId="0" applyNumberFormat="1" applyFont="1" applyFill="1" applyBorder="1" applyAlignment="1">
      <alignment horizontal="justify" vertical="center" wrapText="1"/>
    </xf>
    <xf numFmtId="4" fontId="2" fillId="5" borderId="1" xfId="0" applyNumberFormat="1" applyFont="1" applyFill="1" applyBorder="1" applyAlignment="1">
      <alignment horizontal="justify" vertical="center" wrapText="1"/>
    </xf>
    <xf numFmtId="164" fontId="0" fillId="13" borderId="1" xfId="0" applyNumberFormat="1" applyFill="1" applyBorder="1" applyAlignment="1">
      <alignment horizontal="justify" vertical="center" wrapText="1"/>
    </xf>
    <xf numFmtId="10" fontId="1" fillId="16" borderId="1" xfId="0" applyNumberFormat="1" applyFont="1" applyFill="1" applyBorder="1" applyAlignment="1">
      <alignment horizontal="justify" vertical="center" wrapText="1"/>
    </xf>
    <xf numFmtId="3" fontId="0" fillId="13" borderId="1" xfId="0" applyNumberFormat="1" applyFill="1" applyBorder="1" applyAlignment="1">
      <alignment horizontal="justify" vertical="center" wrapText="1"/>
    </xf>
    <xf numFmtId="3" fontId="0" fillId="13" borderId="4" xfId="0" applyNumberFormat="1" applyFill="1" applyBorder="1" applyAlignment="1">
      <alignment horizontal="justify" vertical="center" wrapText="1"/>
    </xf>
    <xf numFmtId="0" fontId="1" fillId="9" borderId="1" xfId="0" applyFont="1" applyFill="1" applyBorder="1" applyAlignment="1">
      <alignment horizontal="justify" vertical="center" wrapText="1"/>
    </xf>
    <xf numFmtId="4" fontId="1" fillId="9" borderId="1" xfId="0" applyNumberFormat="1" applyFont="1" applyFill="1" applyBorder="1" applyAlignment="1">
      <alignment horizontal="justify" vertical="center" wrapText="1"/>
    </xf>
    <xf numFmtId="9" fontId="0" fillId="0" borderId="1" xfId="0" applyNumberFormat="1" applyBorder="1" applyAlignment="1">
      <alignment horizontal="justify" vertical="center" wrapText="1"/>
    </xf>
    <xf numFmtId="4" fontId="0" fillId="0" borderId="1" xfId="0" applyNumberFormat="1" applyBorder="1" applyAlignment="1">
      <alignment horizontal="justify" vertical="center" wrapText="1"/>
    </xf>
    <xf numFmtId="10" fontId="0" fillId="13" borderId="1" xfId="0" applyNumberFormat="1" applyFill="1" applyBorder="1" applyAlignment="1">
      <alignment horizontal="justify" vertical="center" wrapText="1"/>
    </xf>
    <xf numFmtId="4" fontId="0" fillId="13" borderId="1" xfId="0" applyNumberFormat="1" applyFill="1" applyBorder="1" applyAlignment="1">
      <alignment horizontal="justify" vertical="center" wrapText="1"/>
    </xf>
    <xf numFmtId="4" fontId="0" fillId="13" borderId="4" xfId="0" applyNumberFormat="1" applyFill="1" applyBorder="1" applyAlignment="1">
      <alignment horizontal="justify" vertical="center" wrapText="1"/>
    </xf>
    <xf numFmtId="10" fontId="0" fillId="0" borderId="1" xfId="0" applyNumberFormat="1" applyBorder="1" applyAlignment="1">
      <alignment horizontal="justify" vertical="center" wrapText="1"/>
    </xf>
    <xf numFmtId="164" fontId="0" fillId="0" borderId="1" xfId="0" applyNumberFormat="1" applyFill="1" applyBorder="1" applyAlignment="1">
      <alignment horizontal="justify" vertical="center" wrapText="1"/>
    </xf>
    <xf numFmtId="0" fontId="8"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9" fontId="3" fillId="0" borderId="1" xfId="0" applyNumberFormat="1" applyFont="1" applyBorder="1" applyAlignment="1">
      <alignment horizontal="justify" vertical="center" wrapText="1"/>
    </xf>
    <xf numFmtId="3" fontId="0" fillId="0" borderId="1" xfId="0" applyNumberFormat="1" applyBorder="1" applyAlignment="1">
      <alignment horizontal="justify" vertical="center" wrapText="1"/>
    </xf>
    <xf numFmtId="164" fontId="1" fillId="4" borderId="1" xfId="0" applyNumberFormat="1" applyFont="1" applyFill="1" applyBorder="1" applyAlignment="1">
      <alignment horizontal="justify" vertical="center" wrapText="1"/>
    </xf>
    <xf numFmtId="10" fontId="1" fillId="4" borderId="1" xfId="0" applyNumberFormat="1" applyFont="1" applyFill="1" applyBorder="1" applyAlignment="1">
      <alignment horizontal="justify" vertical="center" wrapText="1"/>
    </xf>
    <xf numFmtId="4" fontId="1" fillId="4" borderId="1" xfId="0" applyNumberFormat="1" applyFont="1" applyFill="1" applyBorder="1" applyAlignment="1">
      <alignment horizontal="justify" vertical="center" wrapText="1"/>
    </xf>
    <xf numFmtId="4" fontId="1" fillId="4" borderId="4" xfId="0" applyNumberFormat="1" applyFont="1" applyFill="1" applyBorder="1" applyAlignment="1">
      <alignment horizontal="justify" vertical="center" wrapText="1"/>
    </xf>
    <xf numFmtId="9" fontId="0" fillId="0" borderId="0" xfId="0" applyNumberFormat="1" applyAlignment="1">
      <alignment horizontal="justify" vertical="center" wrapText="1"/>
    </xf>
    <xf numFmtId="164" fontId="0" fillId="0" borderId="1" xfId="0" applyNumberFormat="1" applyBorder="1" applyAlignment="1">
      <alignment horizontal="justify" vertical="center" wrapText="1"/>
    </xf>
    <xf numFmtId="165" fontId="0" fillId="0" borderId="0" xfId="0" applyNumberFormat="1" applyAlignment="1">
      <alignment horizontal="justify" vertical="center" wrapText="1"/>
    </xf>
    <xf numFmtId="0" fontId="0" fillId="0" borderId="0" xfId="0" applyFill="1" applyAlignment="1">
      <alignment horizontal="justify" vertical="center" wrapText="1"/>
    </xf>
    <xf numFmtId="164" fontId="1" fillId="13" borderId="1" xfId="0" applyNumberFormat="1" applyFont="1" applyFill="1" applyBorder="1" applyAlignment="1">
      <alignment horizontal="justify" vertical="center" wrapText="1"/>
    </xf>
    <xf numFmtId="10" fontId="1" fillId="13" borderId="1" xfId="0" applyNumberFormat="1" applyFont="1" applyFill="1" applyBorder="1" applyAlignment="1">
      <alignment horizontal="justify" vertical="center" wrapText="1"/>
    </xf>
    <xf numFmtId="4" fontId="1" fillId="13" borderId="1" xfId="0" applyNumberFormat="1" applyFont="1" applyFill="1" applyBorder="1" applyAlignment="1">
      <alignment horizontal="justify" vertical="center" wrapText="1"/>
    </xf>
    <xf numFmtId="4" fontId="1" fillId="13" borderId="4" xfId="0" applyNumberFormat="1" applyFont="1" applyFill="1" applyBorder="1" applyAlignment="1">
      <alignment horizontal="justify" vertical="center" wrapText="1"/>
    </xf>
    <xf numFmtId="0" fontId="0" fillId="0" borderId="1" xfId="0" applyFill="1" applyBorder="1" applyAlignment="1">
      <alignment horizontal="justify" vertical="center" wrapText="1"/>
    </xf>
    <xf numFmtId="3" fontId="1" fillId="13" borderId="1" xfId="0" applyNumberFormat="1" applyFont="1" applyFill="1" applyBorder="1" applyAlignment="1">
      <alignment horizontal="justify" vertical="center" wrapText="1"/>
    </xf>
    <xf numFmtId="3" fontId="1" fillId="13" borderId="4" xfId="0" applyNumberFormat="1" applyFont="1" applyFill="1" applyBorder="1" applyAlignment="1">
      <alignment horizontal="justify" vertical="center" wrapText="1"/>
    </xf>
    <xf numFmtId="4" fontId="2" fillId="6" borderId="1" xfId="0" applyNumberFormat="1" applyFont="1" applyFill="1" applyBorder="1" applyAlignment="1">
      <alignment horizontal="justify" vertical="center" wrapText="1"/>
    </xf>
    <xf numFmtId="0" fontId="2" fillId="0" borderId="0" xfId="0" applyFont="1" applyAlignment="1">
      <alignment horizontal="justify" vertical="center" wrapText="1"/>
    </xf>
    <xf numFmtId="4" fontId="2" fillId="8" borderId="1" xfId="0" applyNumberFormat="1" applyFont="1" applyFill="1" applyBorder="1" applyAlignment="1">
      <alignment horizontal="justify" vertical="center" wrapText="1"/>
    </xf>
    <xf numFmtId="10" fontId="0" fillId="3" borderId="1" xfId="0" applyNumberFormat="1" applyFill="1" applyBorder="1" applyAlignment="1">
      <alignment horizontal="justify" vertical="center" wrapText="1"/>
    </xf>
    <xf numFmtId="4" fontId="0" fillId="3" borderId="1" xfId="0" applyNumberFormat="1" applyFill="1" applyBorder="1" applyAlignment="1">
      <alignment horizontal="justify" vertical="center" wrapText="1"/>
    </xf>
    <xf numFmtId="4" fontId="0" fillId="3" borderId="4" xfId="0" applyNumberFormat="1" applyFill="1" applyBorder="1" applyAlignment="1">
      <alignment horizontal="justify" vertical="center" wrapText="1"/>
    </xf>
    <xf numFmtId="0" fontId="0" fillId="15" borderId="1" xfId="0" applyFill="1" applyBorder="1" applyAlignment="1">
      <alignment horizontal="justify" vertical="center" wrapText="1"/>
    </xf>
    <xf numFmtId="10" fontId="0" fillId="15" borderId="1" xfId="0" applyNumberFormat="1" applyFill="1" applyBorder="1" applyAlignment="1">
      <alignment horizontal="justify" vertical="center" wrapText="1"/>
    </xf>
    <xf numFmtId="10" fontId="0" fillId="16" borderId="1" xfId="0" applyNumberFormat="1" applyFill="1" applyBorder="1" applyAlignment="1">
      <alignment horizontal="justify" vertical="center" wrapText="1"/>
    </xf>
    <xf numFmtId="0" fontId="0" fillId="16" borderId="1" xfId="0" applyFill="1" applyBorder="1" applyAlignment="1">
      <alignment horizontal="justify" vertical="center" wrapText="1"/>
    </xf>
    <xf numFmtId="14" fontId="6"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10" fontId="6" fillId="16" borderId="1" xfId="0" applyNumberFormat="1" applyFont="1" applyFill="1" applyBorder="1" applyAlignment="1">
      <alignment horizontal="justify" vertical="center" wrapText="1"/>
    </xf>
    <xf numFmtId="10" fontId="0" fillId="4" borderId="1" xfId="0" applyNumberFormat="1" applyFill="1" applyBorder="1" applyAlignment="1">
      <alignment horizontal="justify" vertical="center" wrapText="1"/>
    </xf>
    <xf numFmtId="3" fontId="0" fillId="4" borderId="1" xfId="0" applyNumberFormat="1" applyFill="1" applyBorder="1" applyAlignment="1">
      <alignment horizontal="justify" vertical="center" wrapText="1"/>
    </xf>
    <xf numFmtId="3" fontId="0" fillId="4" borderId="4" xfId="0" applyNumberFormat="1" applyFill="1" applyBorder="1" applyAlignment="1">
      <alignment horizontal="justify" vertical="center" wrapText="1"/>
    </xf>
    <xf numFmtId="0" fontId="0" fillId="0" borderId="1" xfId="0" applyBorder="1" applyAlignment="1">
      <alignment horizontal="justify" vertical="center" wrapText="1"/>
    </xf>
    <xf numFmtId="14" fontId="0" fillId="3" borderId="1" xfId="0" applyNumberFormat="1" applyFill="1" applyBorder="1" applyAlignment="1">
      <alignment horizontal="justify" vertical="center" wrapText="1"/>
    </xf>
    <xf numFmtId="164" fontId="1"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10" fontId="0" fillId="14" borderId="1" xfId="0" applyNumberFormat="1" applyFill="1" applyBorder="1" applyAlignment="1">
      <alignment horizontal="justify" vertical="center" wrapText="1"/>
    </xf>
    <xf numFmtId="164" fontId="1" fillId="6" borderId="1" xfId="0" applyNumberFormat="1" applyFont="1" applyFill="1" applyBorder="1" applyAlignment="1">
      <alignment horizontal="justify" vertical="center" wrapText="1"/>
    </xf>
    <xf numFmtId="4" fontId="0" fillId="4" borderId="1" xfId="0" applyNumberFormat="1" applyFill="1" applyBorder="1" applyAlignment="1">
      <alignment horizontal="justify" vertical="center" wrapText="1"/>
    </xf>
    <xf numFmtId="4" fontId="0" fillId="5" borderId="4" xfId="0" applyNumberFormat="1" applyFill="1" applyBorder="1" applyAlignment="1">
      <alignment horizontal="justify" vertical="center" wrapText="1"/>
    </xf>
    <xf numFmtId="9" fontId="0" fillId="16" borderId="1" xfId="0" applyNumberFormat="1" applyFill="1" applyBorder="1" applyAlignment="1">
      <alignment horizontal="justify" vertical="center" wrapText="1"/>
    </xf>
    <xf numFmtId="10" fontId="1" fillId="6" borderId="1" xfId="0" applyNumberFormat="1" applyFont="1" applyFill="1" applyBorder="1" applyAlignment="1">
      <alignment horizontal="justify" vertical="center" wrapText="1"/>
    </xf>
    <xf numFmtId="4" fontId="1" fillId="6" borderId="1" xfId="0" applyNumberFormat="1" applyFont="1" applyFill="1" applyBorder="1" applyAlignment="1">
      <alignment horizontal="justify" vertical="center" wrapText="1"/>
    </xf>
    <xf numFmtId="0" fontId="1" fillId="0" borderId="0" xfId="0" applyFont="1" applyAlignment="1">
      <alignment horizontal="justify" vertical="center" wrapText="1"/>
    </xf>
    <xf numFmtId="4" fontId="0" fillId="4" borderId="4" xfId="0" applyNumberFormat="1" applyFill="1" applyBorder="1" applyAlignment="1">
      <alignment horizontal="justify" vertical="center" wrapText="1"/>
    </xf>
    <xf numFmtId="0" fontId="3" fillId="2" borderId="1" xfId="0" applyFont="1" applyFill="1" applyBorder="1" applyAlignment="1">
      <alignment horizontal="justify" vertical="center" wrapText="1"/>
    </xf>
    <xf numFmtId="0" fontId="3" fillId="7" borderId="1" xfId="0" applyFont="1" applyFill="1" applyBorder="1" applyAlignment="1">
      <alignment horizontal="justify" vertical="center" wrapText="1"/>
    </xf>
    <xf numFmtId="4" fontId="3" fillId="7" borderId="1" xfId="0" applyNumberFormat="1" applyFont="1" applyFill="1" applyBorder="1" applyAlignment="1">
      <alignment horizontal="justify" vertical="center" wrapText="1"/>
    </xf>
    <xf numFmtId="0" fontId="3" fillId="0" borderId="0" xfId="0" applyFont="1" applyAlignment="1">
      <alignment horizontal="justify" vertical="center" wrapText="1"/>
    </xf>
    <xf numFmtId="3" fontId="10" fillId="0" borderId="1" xfId="0" applyNumberFormat="1" applyFont="1" applyFill="1" applyBorder="1" applyAlignment="1">
      <alignment horizontal="justify" vertical="center" wrapText="1"/>
    </xf>
    <xf numFmtId="10" fontId="12" fillId="0" borderId="1" xfId="0" applyNumberFormat="1" applyFont="1" applyFill="1" applyBorder="1" applyAlignment="1">
      <alignment horizontal="justify" vertical="center" wrapText="1"/>
    </xf>
    <xf numFmtId="16" fontId="0" fillId="0" borderId="0" xfId="0" applyNumberFormat="1" applyAlignment="1">
      <alignment horizontal="justify" vertical="center" wrapText="1"/>
    </xf>
    <xf numFmtId="0" fontId="0" fillId="3" borderId="2" xfId="0" applyFill="1" applyBorder="1" applyAlignment="1">
      <alignment horizontal="justify" vertical="center" wrapText="1"/>
    </xf>
    <xf numFmtId="0" fontId="1" fillId="4" borderId="1" xfId="0" applyFont="1" applyFill="1" applyBorder="1" applyAlignment="1">
      <alignment horizontal="center" vertical="center" wrapText="1"/>
    </xf>
    <xf numFmtId="9" fontId="1" fillId="3" borderId="3" xfId="0" applyNumberFormat="1" applyFont="1" applyFill="1" applyBorder="1" applyAlignment="1">
      <alignment horizontal="center" vertical="top" wrapText="1"/>
    </xf>
    <xf numFmtId="9"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0" fillId="0" borderId="1" xfId="0" applyBorder="1" applyAlignment="1">
      <alignment horizontal="justify" vertical="top" wrapText="1"/>
    </xf>
    <xf numFmtId="0" fontId="0" fillId="0" borderId="1" xfId="0" applyBorder="1" applyAlignment="1">
      <alignment horizontal="center" vertical="top" wrapText="1"/>
    </xf>
    <xf numFmtId="0" fontId="1" fillId="3" borderId="1" xfId="0" applyFont="1" applyFill="1" applyBorder="1" applyAlignment="1">
      <alignment horizontal="center" vertical="top" wrapText="1"/>
    </xf>
    <xf numFmtId="0" fontId="0" fillId="0" borderId="5" xfId="0" applyBorder="1" applyAlignment="1">
      <alignment horizontal="justify" vertical="top"/>
    </xf>
    <xf numFmtId="0" fontId="0" fillId="0" borderId="10" xfId="0" applyBorder="1" applyAlignment="1">
      <alignment horizontal="justify" vertical="top"/>
    </xf>
    <xf numFmtId="0" fontId="0" fillId="0" borderId="3" xfId="0" applyBorder="1" applyAlignment="1">
      <alignment horizontal="center" vertical="top" wrapText="1"/>
    </xf>
    <xf numFmtId="0" fontId="0" fillId="0" borderId="1" xfId="0" applyBorder="1" applyAlignment="1">
      <alignment horizontal="justify" vertical="top"/>
    </xf>
    <xf numFmtId="0" fontId="0" fillId="0" borderId="1" xfId="0" applyFill="1" applyBorder="1" applyAlignment="1">
      <alignment horizontal="justify" vertical="center" wrapText="1"/>
    </xf>
    <xf numFmtId="0" fontId="0" fillId="0" borderId="1" xfId="0" applyFill="1" applyBorder="1" applyAlignment="1">
      <alignment horizontal="justify" vertical="center" wrapText="1"/>
    </xf>
    <xf numFmtId="0" fontId="6" fillId="17" borderId="1" xfId="0" applyFont="1" applyFill="1" applyBorder="1" applyAlignment="1">
      <alignment horizontal="justify" vertical="center" wrapText="1"/>
    </xf>
    <xf numFmtId="0" fontId="0" fillId="17" borderId="1" xfId="0" applyFill="1" applyBorder="1" applyAlignment="1">
      <alignment horizontal="justify" vertical="center" wrapText="1"/>
    </xf>
    <xf numFmtId="0" fontId="11" fillId="17" borderId="1" xfId="0" applyFont="1" applyFill="1" applyBorder="1" applyAlignment="1">
      <alignment horizontal="justify" vertical="center" wrapText="1"/>
    </xf>
    <xf numFmtId="0" fontId="9" fillId="0" borderId="4" xfId="0" applyFont="1" applyFill="1" applyBorder="1" applyAlignment="1" applyProtection="1">
      <alignment horizontal="justify" vertical="center" wrapText="1"/>
      <protection locked="0"/>
    </xf>
    <xf numFmtId="0" fontId="9" fillId="0" borderId="6" xfId="0" applyFont="1" applyFill="1" applyBorder="1" applyAlignment="1" applyProtection="1">
      <alignment horizontal="justify" vertical="center" wrapText="1"/>
      <protection locked="0"/>
    </xf>
    <xf numFmtId="0" fontId="9" fillId="0" borderId="5" xfId="0" applyFont="1" applyFill="1" applyBorder="1" applyAlignment="1" applyProtection="1">
      <alignment horizontal="justify" vertical="center" wrapText="1"/>
      <protection locked="0"/>
    </xf>
    <xf numFmtId="14" fontId="1" fillId="0" borderId="7" xfId="0" applyNumberFormat="1" applyFont="1" applyBorder="1" applyAlignment="1">
      <alignment horizontal="justify" vertical="center" wrapText="1"/>
    </xf>
    <xf numFmtId="0" fontId="1" fillId="0" borderId="8" xfId="0" applyFont="1" applyBorder="1" applyAlignment="1">
      <alignment horizontal="justify" vertical="center" wrapText="1"/>
    </xf>
    <xf numFmtId="0" fontId="2" fillId="8" borderId="4" xfId="0" applyFont="1" applyFill="1" applyBorder="1" applyAlignment="1">
      <alignment horizontal="justify" vertical="center" wrapText="1"/>
    </xf>
    <xf numFmtId="0" fontId="2" fillId="8" borderId="6" xfId="0" applyFont="1" applyFill="1" applyBorder="1" applyAlignment="1">
      <alignment horizontal="justify" vertical="center" wrapText="1"/>
    </xf>
    <xf numFmtId="0" fontId="1" fillId="6" borderId="4" xfId="0" applyFont="1" applyFill="1" applyBorder="1" applyAlignment="1">
      <alignment horizontal="justify" vertical="center" wrapText="1"/>
    </xf>
    <xf numFmtId="0" fontId="1" fillId="6" borderId="5" xfId="0" applyFont="1"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2" fillId="6" borderId="4" xfId="0" applyFont="1" applyFill="1" applyBorder="1" applyAlignment="1">
      <alignment horizontal="justify" vertical="center" wrapText="1"/>
    </xf>
    <xf numFmtId="0" fontId="2" fillId="6" borderId="5"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1" fillId="3" borderId="5" xfId="0" applyFont="1" applyFill="1" applyBorder="1" applyAlignment="1">
      <alignment horizontal="justify" vertical="center" wrapText="1"/>
    </xf>
    <xf numFmtId="0" fontId="2" fillId="8" borderId="5"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7" fillId="0" borderId="9"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9" fontId="1" fillId="0" borderId="1" xfId="0" applyNumberFormat="1"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9" fontId="1" fillId="0" borderId="9" xfId="0" applyNumberFormat="1" applyFont="1" applyBorder="1" applyAlignment="1">
      <alignment horizontal="center" vertical="top" wrapText="1"/>
    </xf>
    <xf numFmtId="9" fontId="1" fillId="0" borderId="2" xfId="0" applyNumberFormat="1" applyFont="1" applyBorder="1" applyAlignment="1">
      <alignment horizontal="center" vertical="top" wrapText="1"/>
    </xf>
    <xf numFmtId="9" fontId="1" fillId="0" borderId="3" xfId="0" applyNumberFormat="1" applyFont="1" applyBorder="1" applyAlignment="1">
      <alignment horizontal="center" vertical="top" wrapText="1"/>
    </xf>
    <xf numFmtId="10" fontId="1" fillId="0" borderId="9" xfId="0" applyNumberFormat="1" applyFont="1" applyBorder="1" applyAlignment="1">
      <alignment horizontal="center" vertical="top" wrapText="1"/>
    </xf>
    <xf numFmtId="10" fontId="1" fillId="0" borderId="2" xfId="0" applyNumberFormat="1" applyFont="1" applyBorder="1" applyAlignment="1">
      <alignment horizontal="center" vertical="top" wrapText="1"/>
    </xf>
    <xf numFmtId="10" fontId="1" fillId="0" borderId="3" xfId="0" applyNumberFormat="1" applyFont="1" applyBorder="1" applyAlignment="1">
      <alignment horizontal="center" vertical="top" wrapText="1"/>
    </xf>
    <xf numFmtId="9" fontId="1" fillId="0" borderId="9" xfId="0" applyNumberFormat="1" applyFont="1" applyBorder="1" applyAlignment="1">
      <alignment horizontal="center" vertical="top"/>
    </xf>
    <xf numFmtId="9" fontId="1" fillId="0" borderId="2" xfId="0" applyNumberFormat="1" applyFont="1" applyBorder="1" applyAlignment="1">
      <alignment horizontal="center" vertical="top"/>
    </xf>
    <xf numFmtId="9" fontId="1" fillId="0" borderId="3" xfId="0" applyNumberFormat="1" applyFont="1" applyBorder="1" applyAlignment="1">
      <alignment horizontal="center" vertical="top"/>
    </xf>
    <xf numFmtId="0" fontId="1" fillId="3" borderId="9" xfId="0" applyFont="1" applyFill="1" applyBorder="1" applyAlignment="1">
      <alignment horizontal="center" vertical="center" wrapText="1"/>
    </xf>
    <xf numFmtId="0" fontId="1" fillId="3" borderId="3" xfId="0" applyFont="1" applyFill="1" applyBorder="1" applyAlignment="1">
      <alignment horizontal="center" vertical="center" wrapText="1"/>
    </xf>
    <xf numFmtId="4" fontId="1" fillId="3" borderId="9" xfId="0" applyNumberFormat="1" applyFont="1" applyFill="1" applyBorder="1" applyAlignment="1">
      <alignment horizontal="center" vertical="center" wrapText="1"/>
    </xf>
    <xf numFmtId="4" fontId="1" fillId="3" borderId="3" xfId="0" applyNumberFormat="1"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0" fillId="0" borderId="4" xfId="0" applyBorder="1" applyAlignment="1">
      <alignment horizontal="justify" vertical="center" wrapText="1"/>
    </xf>
    <xf numFmtId="0" fontId="0" fillId="0" borderId="6" xfId="0" applyBorder="1" applyAlignment="1">
      <alignment horizontal="justify" vertical="center" wrapText="1"/>
    </xf>
    <xf numFmtId="0" fontId="0" fillId="0" borderId="5" xfId="0" applyBorder="1" applyAlignment="1">
      <alignment horizontal="justify" vertical="center" wrapText="1"/>
    </xf>
    <xf numFmtId="0" fontId="1" fillId="0" borderId="1" xfId="0" applyFont="1" applyBorder="1" applyAlignment="1">
      <alignment horizontal="center" vertical="top" wrapText="1"/>
    </xf>
    <xf numFmtId="0" fontId="0" fillId="0" borderId="4" xfId="0" applyBorder="1" applyAlignment="1">
      <alignment horizontal="justify" vertical="top" wrapText="1"/>
    </xf>
    <xf numFmtId="0" fontId="0" fillId="0" borderId="6" xfId="0" applyBorder="1" applyAlignment="1">
      <alignment horizontal="justify" vertical="top" wrapText="1"/>
    </xf>
    <xf numFmtId="0" fontId="0" fillId="0" borderId="5" xfId="0" applyBorder="1" applyAlignment="1">
      <alignment horizontal="justify" vertical="top"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0.31.21.201/%20desarrollo/Informes_software/registra_%20Informes_"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AE100"/>
  <sheetViews>
    <sheetView topLeftCell="Q1" zoomScale="69" zoomScaleNormal="69" workbookViewId="0">
      <pane ySplit="2" topLeftCell="A3" activePane="bottomLeft" state="frozen"/>
      <selection pane="bottomLeft" activeCell="AC3" sqref="AC3"/>
    </sheetView>
  </sheetViews>
  <sheetFormatPr baseColWidth="10" defaultColWidth="11.5703125" defaultRowHeight="15" x14ac:dyDescent="0.25"/>
  <cols>
    <col min="1" max="1" width="6.28515625" style="1" customWidth="1"/>
    <col min="2" max="2" width="21.28515625" style="1" customWidth="1"/>
    <col min="3" max="3" width="11" style="1" customWidth="1"/>
    <col min="4" max="4" width="11.140625" style="1" customWidth="1"/>
    <col min="5" max="5" width="12.85546875" style="1" customWidth="1"/>
    <col min="6" max="6" width="10.7109375" style="1" customWidth="1"/>
    <col min="7" max="7" width="7.85546875" style="1" customWidth="1"/>
    <col min="8" max="8" width="12.28515625" style="42" customWidth="1"/>
    <col min="9" max="9" width="16.28515625" style="43" customWidth="1"/>
    <col min="10" max="11" width="16.5703125" style="43" customWidth="1"/>
    <col min="12" max="12" width="15.28515625" style="1" customWidth="1"/>
    <col min="13" max="13" width="11.5703125" style="1" customWidth="1"/>
    <col min="14" max="14" width="15.85546875" style="1" customWidth="1"/>
    <col min="15" max="15" width="24.28515625" style="1" customWidth="1"/>
    <col min="16" max="16" width="19" style="1" customWidth="1"/>
    <col min="17" max="17" width="11.28515625" style="1" customWidth="1"/>
    <col min="18" max="18" width="27.140625" style="1" customWidth="1"/>
    <col min="19" max="19" width="12.42578125" style="1" customWidth="1"/>
    <col min="20" max="20" width="18.5703125" style="1" customWidth="1"/>
    <col min="21" max="21" width="20.140625" style="1" customWidth="1"/>
    <col min="22" max="22" width="17.28515625" style="1" customWidth="1"/>
    <col min="23" max="23" width="33" style="1" customWidth="1"/>
    <col min="24" max="24" width="20.85546875" style="1" customWidth="1"/>
    <col min="25" max="25" width="15.28515625" style="1" customWidth="1"/>
    <col min="26" max="26" width="18.28515625" style="1" customWidth="1"/>
    <col min="27" max="27" width="14.28515625" style="1" customWidth="1"/>
    <col min="28" max="28" width="23.28515625" style="1" customWidth="1"/>
    <col min="29" max="29" width="15.85546875" style="1" customWidth="1"/>
    <col min="30" max="30" width="17" style="1" customWidth="1"/>
    <col min="31" max="34" width="11.5703125" style="1" customWidth="1"/>
    <col min="35" max="35" width="0.140625" style="1" customWidth="1"/>
    <col min="36" max="36" width="7.140625" style="1" customWidth="1"/>
    <col min="37" max="40" width="6.140625" style="1" customWidth="1"/>
    <col min="41" max="16384" width="11.5703125" style="1"/>
  </cols>
  <sheetData>
    <row r="1" spans="1:31" ht="31.15" customHeight="1" x14ac:dyDescent="0.3">
      <c r="I1" s="43" t="s">
        <v>47</v>
      </c>
      <c r="J1" s="44">
        <v>42735</v>
      </c>
      <c r="K1" s="43">
        <f>12-8.5</f>
        <v>3.5</v>
      </c>
    </row>
    <row r="2" spans="1:31" ht="114.6" customHeight="1" x14ac:dyDescent="0.25">
      <c r="A2" s="45" t="s">
        <v>71</v>
      </c>
      <c r="B2" s="46" t="s">
        <v>0</v>
      </c>
      <c r="C2" s="46" t="s">
        <v>23</v>
      </c>
      <c r="D2" s="46" t="s">
        <v>21</v>
      </c>
      <c r="E2" s="46" t="s">
        <v>22</v>
      </c>
      <c r="F2" s="46" t="s">
        <v>146</v>
      </c>
      <c r="G2" s="46" t="s">
        <v>25</v>
      </c>
      <c r="H2" s="47" t="s">
        <v>46</v>
      </c>
      <c r="I2" s="48" t="s">
        <v>143</v>
      </c>
      <c r="J2" s="48" t="s">
        <v>144</v>
      </c>
      <c r="K2" s="48" t="s">
        <v>145</v>
      </c>
      <c r="L2" s="14" t="s">
        <v>59</v>
      </c>
      <c r="M2" s="14" t="s">
        <v>60</v>
      </c>
      <c r="N2" s="14" t="s">
        <v>61</v>
      </c>
      <c r="O2" s="14" t="s">
        <v>62</v>
      </c>
      <c r="P2" s="14" t="s">
        <v>63</v>
      </c>
      <c r="Q2" s="14" t="s">
        <v>64</v>
      </c>
      <c r="R2" s="14" t="s">
        <v>65</v>
      </c>
      <c r="S2" s="14" t="s">
        <v>66</v>
      </c>
      <c r="T2" s="14" t="s">
        <v>67</v>
      </c>
      <c r="U2" s="14" t="s">
        <v>68</v>
      </c>
      <c r="V2" s="14" t="s">
        <v>69</v>
      </c>
      <c r="W2" s="14" t="s">
        <v>70</v>
      </c>
      <c r="X2" s="137">
        <f>J1</f>
        <v>42735</v>
      </c>
      <c r="Y2" s="138"/>
      <c r="Z2" s="138"/>
      <c r="AA2" s="138"/>
      <c r="AB2" s="138"/>
      <c r="AC2" s="138"/>
    </row>
    <row r="3" spans="1:31" ht="97.9" customHeight="1" x14ac:dyDescent="0.25">
      <c r="A3" s="24">
        <v>1</v>
      </c>
      <c r="B3" s="23" t="s">
        <v>7</v>
      </c>
      <c r="C3" s="24">
        <v>1</v>
      </c>
      <c r="D3" s="25">
        <v>42401</v>
      </c>
      <c r="E3" s="25">
        <v>42428</v>
      </c>
      <c r="F3" s="49">
        <f>ROUND((E3-D3)/7,0)</f>
        <v>4</v>
      </c>
      <c r="G3" s="24">
        <v>1</v>
      </c>
      <c r="H3" s="50">
        <f>IF(G3/C3&gt;1,1,G3/C3)</f>
        <v>1</v>
      </c>
      <c r="I3" s="51">
        <f>+F3*H3</f>
        <v>4</v>
      </c>
      <c r="J3" s="51">
        <f>IF(E3&lt;=$J$1,I3,0)</f>
        <v>4</v>
      </c>
      <c r="K3" s="52">
        <f>IF($J$1&gt;=E3,F3,0)</f>
        <v>4</v>
      </c>
      <c r="L3" s="24"/>
      <c r="M3" s="24" t="s">
        <v>72</v>
      </c>
      <c r="N3" s="24"/>
      <c r="O3" s="24"/>
      <c r="P3" s="24"/>
      <c r="Q3" s="24"/>
      <c r="R3" s="24"/>
      <c r="S3" s="24"/>
      <c r="T3" s="24"/>
      <c r="U3" s="5"/>
      <c r="V3" s="5"/>
      <c r="W3" s="5"/>
      <c r="X3" s="53" t="s">
        <v>58</v>
      </c>
      <c r="Y3" s="54" t="s">
        <v>57</v>
      </c>
      <c r="Z3" s="54" t="s">
        <v>145</v>
      </c>
      <c r="AA3" s="54" t="s">
        <v>150</v>
      </c>
      <c r="AB3" s="54" t="s">
        <v>149</v>
      </c>
      <c r="AC3" s="54" t="s">
        <v>148</v>
      </c>
    </row>
    <row r="4" spans="1:31" ht="98.45" customHeight="1" x14ac:dyDescent="0.25">
      <c r="A4" s="24">
        <v>2</v>
      </c>
      <c r="B4" s="23" t="s">
        <v>24</v>
      </c>
      <c r="C4" s="24">
        <v>2</v>
      </c>
      <c r="D4" s="25">
        <v>42371</v>
      </c>
      <c r="E4" s="25">
        <v>42428</v>
      </c>
      <c r="F4" s="49">
        <f>ROUND((E4-D4)/7,0)</f>
        <v>8</v>
      </c>
      <c r="G4" s="24">
        <v>2</v>
      </c>
      <c r="H4" s="50">
        <f>IF(G4/C4&gt;1,1,G4/C4)</f>
        <v>1</v>
      </c>
      <c r="I4" s="51">
        <f>+F4*H4</f>
        <v>8</v>
      </c>
      <c r="J4" s="51">
        <f>IF(E4&lt;=$J$1,I4,0)</f>
        <v>8</v>
      </c>
      <c r="K4" s="52">
        <f>IF($J$1&gt;=E4,F4,0)</f>
        <v>8</v>
      </c>
      <c r="L4" s="24"/>
      <c r="M4" s="24" t="s">
        <v>73</v>
      </c>
      <c r="N4" s="24"/>
      <c r="O4" s="24"/>
      <c r="P4" s="24"/>
      <c r="Q4" s="24"/>
      <c r="R4" s="24"/>
      <c r="S4" s="24"/>
      <c r="T4" s="24"/>
      <c r="U4" s="5"/>
      <c r="V4" s="132" t="s">
        <v>151</v>
      </c>
      <c r="W4" s="5"/>
      <c r="X4" s="3" t="s">
        <v>51</v>
      </c>
      <c r="Y4" s="55">
        <v>0.2</v>
      </c>
      <c r="Z4" s="56">
        <f>K33</f>
        <v>14.200000000000001</v>
      </c>
      <c r="AA4" s="56">
        <f>F33</f>
        <v>14.200000000000001</v>
      </c>
      <c r="AB4" s="55">
        <f>IF(J33=0,0,J33/K33)</f>
        <v>1</v>
      </c>
      <c r="AC4" s="55">
        <f>IF(I33=0,0,I33/F33)</f>
        <v>1</v>
      </c>
    </row>
    <row r="5" spans="1:31" ht="81" customHeight="1" x14ac:dyDescent="0.25">
      <c r="A5" s="24">
        <v>3</v>
      </c>
      <c r="B5" s="23" t="s">
        <v>8</v>
      </c>
      <c r="C5" s="24">
        <v>1</v>
      </c>
      <c r="D5" s="25">
        <v>42370</v>
      </c>
      <c r="E5" s="25">
        <v>42430</v>
      </c>
      <c r="F5" s="49">
        <f>ROUND((E5-D5)/7,0)</f>
        <v>9</v>
      </c>
      <c r="G5" s="24">
        <v>1</v>
      </c>
      <c r="H5" s="50">
        <f>IF(G5/C5&gt;1,1,G5/C5)</f>
        <v>1</v>
      </c>
      <c r="I5" s="51">
        <f>+F5*H5</f>
        <v>9</v>
      </c>
      <c r="J5" s="51">
        <f>IF(E5&lt;=$J$1,I5,0)</f>
        <v>9</v>
      </c>
      <c r="K5" s="52">
        <f>IF($J$1&gt;=E5,F5,0)</f>
        <v>9</v>
      </c>
      <c r="L5" s="24"/>
      <c r="M5" s="24" t="s">
        <v>75</v>
      </c>
      <c r="N5" s="24" t="s">
        <v>74</v>
      </c>
      <c r="O5" s="24"/>
      <c r="P5" s="24"/>
      <c r="Q5" s="24"/>
      <c r="R5" s="24"/>
      <c r="S5" s="24"/>
      <c r="T5" s="24"/>
      <c r="U5" s="5"/>
      <c r="V5" s="5"/>
      <c r="W5" s="5"/>
      <c r="X5" s="3" t="s">
        <v>52</v>
      </c>
      <c r="Y5" s="55">
        <v>0.2</v>
      </c>
      <c r="Z5" s="56">
        <f>K59</f>
        <v>18.8</v>
      </c>
      <c r="AA5" s="56">
        <f>F59</f>
        <v>20.200000000000003</v>
      </c>
      <c r="AB5" s="55">
        <f>IF(J59=0,0,J59/K59)</f>
        <v>1</v>
      </c>
      <c r="AC5" s="55">
        <f>IF(I59=0,0,I59/F59)</f>
        <v>1</v>
      </c>
    </row>
    <row r="6" spans="1:31" ht="82.9" customHeight="1" x14ac:dyDescent="0.25">
      <c r="A6" s="24">
        <v>4</v>
      </c>
      <c r="B6" s="23" t="s">
        <v>1</v>
      </c>
      <c r="C6" s="24"/>
      <c r="D6" s="25"/>
      <c r="E6" s="25"/>
      <c r="F6" s="49"/>
      <c r="G6" s="24"/>
      <c r="H6" s="57"/>
      <c r="I6" s="58"/>
      <c r="J6" s="58"/>
      <c r="K6" s="59"/>
      <c r="L6" s="24"/>
      <c r="M6" s="24"/>
      <c r="N6" s="24"/>
      <c r="O6" s="24"/>
      <c r="P6" s="24"/>
      <c r="Q6" s="24"/>
      <c r="R6" s="24"/>
      <c r="S6" s="24"/>
      <c r="T6" s="24"/>
      <c r="U6" s="5"/>
      <c r="V6" s="5"/>
      <c r="W6" s="5"/>
      <c r="X6" s="3" t="s">
        <v>53</v>
      </c>
      <c r="Y6" s="55">
        <v>0.4</v>
      </c>
      <c r="Z6" s="56">
        <f>K67</f>
        <v>38</v>
      </c>
      <c r="AA6" s="56">
        <f>F67</f>
        <v>38</v>
      </c>
      <c r="AB6" s="60">
        <f>IF(J67=0,0,J67/K67)</f>
        <v>1</v>
      </c>
      <c r="AC6" s="55">
        <f>IF(I67=0,0,I67/F67)</f>
        <v>1</v>
      </c>
    </row>
    <row r="7" spans="1:31" ht="60.6" customHeight="1" x14ac:dyDescent="0.25">
      <c r="A7" s="39"/>
      <c r="B7" s="3" t="s">
        <v>9</v>
      </c>
      <c r="C7" s="3">
        <v>1</v>
      </c>
      <c r="D7" s="6">
        <v>42430</v>
      </c>
      <c r="E7" s="6">
        <v>42441</v>
      </c>
      <c r="F7" s="61">
        <f>ROUND((E7-D7)/7,0)</f>
        <v>2</v>
      </c>
      <c r="G7" s="3">
        <v>1</v>
      </c>
      <c r="H7" s="50">
        <f>IF(G7/C7&gt;1,1,G7/C7)</f>
        <v>1</v>
      </c>
      <c r="I7" s="51">
        <f>+F7*H7</f>
        <v>2</v>
      </c>
      <c r="J7" s="51">
        <f>IF(E7&lt;=$J$1,I7,0)</f>
        <v>2</v>
      </c>
      <c r="K7" s="52">
        <f>IF($J$1&gt;=E7,F7,0)</f>
        <v>2</v>
      </c>
      <c r="L7" s="3"/>
      <c r="M7" s="3"/>
      <c r="N7" s="3" t="s">
        <v>76</v>
      </c>
      <c r="O7" s="3"/>
      <c r="P7" s="3"/>
      <c r="Q7" s="3"/>
      <c r="R7" s="3"/>
      <c r="S7" s="3"/>
      <c r="T7" s="3"/>
      <c r="U7" s="3"/>
      <c r="V7" s="3"/>
      <c r="W7" s="3"/>
      <c r="X7" s="3" t="s">
        <v>54</v>
      </c>
      <c r="Y7" s="55">
        <v>0.15</v>
      </c>
      <c r="Z7" s="56">
        <f>K72</f>
        <v>1.95</v>
      </c>
      <c r="AA7" s="56">
        <f>F72</f>
        <v>1.95</v>
      </c>
      <c r="AB7" s="55">
        <f>IF(J72=0,0,J72/K72)</f>
        <v>1</v>
      </c>
      <c r="AC7" s="55">
        <f>IF(I72=0,0,I72/F72)</f>
        <v>1</v>
      </c>
    </row>
    <row r="8" spans="1:31" ht="106.9" customHeight="1" x14ac:dyDescent="0.25">
      <c r="A8" s="39"/>
      <c r="B8" s="3" t="s">
        <v>10</v>
      </c>
      <c r="C8" s="3">
        <v>1</v>
      </c>
      <c r="D8" s="6">
        <v>42552</v>
      </c>
      <c r="E8" s="6">
        <v>42563</v>
      </c>
      <c r="F8" s="61">
        <f>ROUND((E8-D8)/7,0)</f>
        <v>2</v>
      </c>
      <c r="G8" s="5">
        <v>1</v>
      </c>
      <c r="H8" s="50">
        <f>IF(G8/C8&gt;1,1,G8/C8)</f>
        <v>1</v>
      </c>
      <c r="I8" s="51">
        <f>+F8*H8</f>
        <v>2</v>
      </c>
      <c r="J8" s="51">
        <f>IF(E8&lt;=$J$1,I8,0)</f>
        <v>2</v>
      </c>
      <c r="K8" s="52">
        <f>IF($J$1&gt;=E8,F8,0)</f>
        <v>2</v>
      </c>
      <c r="L8" s="3"/>
      <c r="M8" s="3"/>
      <c r="N8" s="3"/>
      <c r="O8" s="3"/>
      <c r="P8" s="3"/>
      <c r="Q8" s="3"/>
      <c r="R8" s="3" t="s">
        <v>116</v>
      </c>
      <c r="S8" s="3" t="s">
        <v>119</v>
      </c>
      <c r="T8" s="3"/>
      <c r="U8" s="3"/>
      <c r="V8" s="3"/>
      <c r="W8" s="3"/>
      <c r="X8" s="3" t="s">
        <v>55</v>
      </c>
      <c r="Y8" s="55">
        <v>0.05</v>
      </c>
      <c r="Z8" s="56">
        <f>K76</f>
        <v>1.75</v>
      </c>
      <c r="AA8" s="56">
        <f>F76</f>
        <v>1.75</v>
      </c>
      <c r="AB8" s="55">
        <f>IF(J76=0,0,J76/K76)</f>
        <v>1</v>
      </c>
      <c r="AC8" s="55">
        <f>IF(I76=0,0,I76/F76)</f>
        <v>1</v>
      </c>
    </row>
    <row r="9" spans="1:31" ht="73.150000000000006" customHeight="1" x14ac:dyDescent="0.25">
      <c r="A9" s="40"/>
      <c r="B9" s="3" t="s">
        <v>11</v>
      </c>
      <c r="C9" s="5">
        <v>1</v>
      </c>
      <c r="D9" s="19">
        <v>42675</v>
      </c>
      <c r="E9" s="19">
        <v>42686</v>
      </c>
      <c r="F9" s="61">
        <f>ROUND((E9-D9)/7,0)</f>
        <v>2</v>
      </c>
      <c r="G9" s="62">
        <v>1</v>
      </c>
      <c r="H9" s="50">
        <f>IF(G9/C9&gt;1,1,G9/C9)</f>
        <v>1</v>
      </c>
      <c r="I9" s="51">
        <f>+F9*H9</f>
        <v>2</v>
      </c>
      <c r="J9" s="51">
        <f>IF(E9&lt;=$J$1,I9,0)</f>
        <v>2</v>
      </c>
      <c r="K9" s="52">
        <f>IF($J$1&gt;=E9,F9,0)</f>
        <v>2</v>
      </c>
      <c r="L9" s="3"/>
      <c r="M9" s="3"/>
      <c r="N9" s="3"/>
      <c r="O9" s="3"/>
      <c r="P9" s="3"/>
      <c r="Q9" s="3"/>
      <c r="R9" s="3"/>
      <c r="S9" s="5"/>
      <c r="T9" s="5"/>
      <c r="U9" s="3"/>
      <c r="V9" s="5"/>
      <c r="W9" s="132" t="s">
        <v>157</v>
      </c>
      <c r="X9" s="63" t="s">
        <v>56</v>
      </c>
      <c r="Y9" s="64">
        <f>SUM(Y4:Y8)</f>
        <v>1</v>
      </c>
      <c r="Z9" s="65">
        <f>SUM(Z4:Z8)</f>
        <v>74.7</v>
      </c>
      <c r="AA9" s="65">
        <f>SUM(AA4:AA8)</f>
        <v>76.100000000000009</v>
      </c>
      <c r="AB9" s="64">
        <f>IF((J33+J59+J67+J72+J76)=0,0,(J33+J59+J67+J72+J76)/(K33+K59+K67+K72+K76))</f>
        <v>1</v>
      </c>
      <c r="AC9" s="64">
        <f>IF((I33+I59+I67+I72+I76)=0,0,(I33+I59+I67+I72+I76)/(F33+F59+F67+F72+F76))</f>
        <v>1</v>
      </c>
    </row>
    <row r="10" spans="1:31" ht="170.45" customHeight="1" x14ac:dyDescent="0.25">
      <c r="A10" s="7">
        <v>5</v>
      </c>
      <c r="B10" s="7" t="s">
        <v>104</v>
      </c>
      <c r="C10" s="7"/>
      <c r="D10" s="8"/>
      <c r="E10" s="8"/>
      <c r="F10" s="66"/>
      <c r="G10" s="7"/>
      <c r="H10" s="67"/>
      <c r="I10" s="68"/>
      <c r="J10" s="68"/>
      <c r="K10" s="69"/>
      <c r="L10" s="15"/>
      <c r="M10" s="15"/>
      <c r="N10" s="15"/>
      <c r="O10" s="15"/>
      <c r="P10" s="15"/>
      <c r="Q10" s="15"/>
      <c r="R10" s="15"/>
      <c r="S10" s="15"/>
      <c r="T10" s="15"/>
      <c r="U10" s="15"/>
      <c r="V10" s="15"/>
      <c r="W10" s="15"/>
      <c r="AB10" s="42"/>
      <c r="AC10" s="70">
        <v>1</v>
      </c>
      <c r="AE10" s="70"/>
    </row>
    <row r="11" spans="1:31" ht="39" customHeight="1" x14ac:dyDescent="0.25">
      <c r="A11" s="3"/>
      <c r="B11" s="3" t="s">
        <v>12</v>
      </c>
      <c r="C11" s="3"/>
      <c r="D11" s="6"/>
      <c r="E11" s="6"/>
      <c r="F11" s="71"/>
      <c r="G11" s="5"/>
      <c r="H11" s="60"/>
      <c r="I11" s="56"/>
      <c r="J11" s="56"/>
      <c r="K11" s="34"/>
      <c r="L11" s="3"/>
      <c r="M11" s="3"/>
      <c r="N11" s="3"/>
      <c r="O11" s="3"/>
      <c r="P11" s="3"/>
      <c r="Q11" s="3"/>
      <c r="R11" s="3"/>
      <c r="S11" s="3"/>
      <c r="T11" s="3"/>
      <c r="U11" s="3"/>
      <c r="V11" s="3"/>
      <c r="W11" s="3"/>
      <c r="Y11" s="70"/>
      <c r="Z11" s="43"/>
      <c r="AA11" s="42"/>
      <c r="AB11" s="43">
        <f>AB9</f>
        <v>1</v>
      </c>
      <c r="AC11" s="43"/>
      <c r="AD11" s="72"/>
      <c r="AE11" s="70"/>
    </row>
    <row r="12" spans="1:31" x14ac:dyDescent="0.25">
      <c r="A12" s="3"/>
      <c r="B12" s="3" t="s">
        <v>13</v>
      </c>
      <c r="C12" s="3"/>
      <c r="D12" s="6"/>
      <c r="E12" s="6"/>
      <c r="F12" s="71"/>
      <c r="G12" s="3"/>
      <c r="H12" s="60"/>
      <c r="I12" s="56"/>
      <c r="J12" s="56"/>
      <c r="K12" s="34"/>
      <c r="L12" s="3"/>
      <c r="M12" s="3"/>
      <c r="N12" s="3"/>
      <c r="O12" s="3"/>
      <c r="P12" s="3"/>
      <c r="Q12" s="3"/>
      <c r="R12" s="3"/>
      <c r="S12" s="3"/>
      <c r="T12" s="3"/>
      <c r="U12" s="3"/>
      <c r="V12" s="3"/>
      <c r="W12" s="3"/>
      <c r="Y12" s="42"/>
      <c r="Z12" s="70"/>
      <c r="AA12" s="42"/>
      <c r="AB12" s="70"/>
      <c r="AD12" s="72"/>
    </row>
    <row r="13" spans="1:31" x14ac:dyDescent="0.25">
      <c r="A13" s="3"/>
      <c r="B13" s="3" t="s">
        <v>14</v>
      </c>
      <c r="C13" s="3"/>
      <c r="D13" s="6"/>
      <c r="E13" s="6"/>
      <c r="F13" s="71"/>
      <c r="G13" s="3"/>
      <c r="H13" s="60"/>
      <c r="I13" s="56"/>
      <c r="J13" s="56"/>
      <c r="K13" s="34"/>
      <c r="L13" s="3"/>
      <c r="M13" s="3"/>
      <c r="N13" s="3"/>
      <c r="O13" s="3"/>
      <c r="P13" s="3"/>
      <c r="Q13" s="3"/>
      <c r="R13" s="3"/>
      <c r="S13" s="3"/>
      <c r="T13" s="3"/>
      <c r="U13" s="3"/>
      <c r="V13" s="3"/>
      <c r="W13" s="3"/>
      <c r="AA13" s="43"/>
      <c r="AB13" s="42"/>
      <c r="AD13" s="72"/>
    </row>
    <row r="14" spans="1:31" x14ac:dyDescent="0.25">
      <c r="A14" s="3"/>
      <c r="B14" s="3" t="s">
        <v>15</v>
      </c>
      <c r="C14" s="3"/>
      <c r="D14" s="6"/>
      <c r="E14" s="6"/>
      <c r="F14" s="71"/>
      <c r="G14" s="3"/>
      <c r="H14" s="60"/>
      <c r="I14" s="56"/>
      <c r="J14" s="56"/>
      <c r="K14" s="34"/>
      <c r="L14" s="3"/>
      <c r="M14" s="3"/>
      <c r="N14" s="3"/>
      <c r="O14" s="3"/>
      <c r="P14" s="3"/>
      <c r="Q14" s="3"/>
      <c r="R14" s="3"/>
      <c r="S14" s="3"/>
      <c r="T14" s="3"/>
      <c r="U14" s="3"/>
      <c r="V14" s="3"/>
      <c r="W14" s="3"/>
      <c r="Y14" s="42"/>
      <c r="Z14" s="70"/>
      <c r="AB14" s="42"/>
      <c r="AC14" s="70"/>
    </row>
    <row r="15" spans="1:31" x14ac:dyDescent="0.25">
      <c r="A15" s="3"/>
      <c r="B15" s="3" t="s">
        <v>16</v>
      </c>
      <c r="C15" s="3"/>
      <c r="D15" s="6"/>
      <c r="E15" s="6"/>
      <c r="F15" s="71"/>
      <c r="G15" s="3"/>
      <c r="H15" s="60"/>
      <c r="I15" s="56"/>
      <c r="J15" s="56"/>
      <c r="K15" s="34"/>
      <c r="L15" s="3"/>
      <c r="M15" s="3"/>
      <c r="N15" s="3"/>
      <c r="O15" s="3"/>
      <c r="P15" s="3"/>
      <c r="Q15" s="3"/>
      <c r="R15" s="3"/>
      <c r="S15" s="3"/>
      <c r="T15" s="3"/>
      <c r="U15" s="3"/>
      <c r="V15" s="3"/>
      <c r="W15" s="3"/>
      <c r="Y15" s="42"/>
      <c r="Z15" s="70"/>
      <c r="AB15" s="42"/>
      <c r="AC15" s="70"/>
    </row>
    <row r="16" spans="1:31" ht="57" customHeight="1" x14ac:dyDescent="0.25">
      <c r="A16" s="7">
        <v>6</v>
      </c>
      <c r="B16" s="7" t="s">
        <v>99</v>
      </c>
      <c r="C16" s="7"/>
      <c r="D16" s="8"/>
      <c r="E16" s="8"/>
      <c r="F16" s="66"/>
      <c r="G16" s="7"/>
      <c r="H16" s="67"/>
      <c r="I16" s="68"/>
      <c r="J16" s="68"/>
      <c r="K16" s="69"/>
      <c r="L16" s="15"/>
      <c r="M16" s="15"/>
      <c r="N16" s="15"/>
      <c r="O16" s="15"/>
      <c r="P16" s="15"/>
      <c r="Q16" s="15"/>
      <c r="R16" s="15"/>
      <c r="S16" s="15"/>
      <c r="T16" s="15"/>
      <c r="U16" s="15"/>
      <c r="V16" s="15"/>
      <c r="W16" s="15"/>
    </row>
    <row r="17" spans="1:28" ht="90" customHeight="1" x14ac:dyDescent="0.25">
      <c r="A17" s="5"/>
      <c r="B17" s="5" t="s">
        <v>17</v>
      </c>
      <c r="C17" s="5">
        <v>1</v>
      </c>
      <c r="D17" s="6">
        <v>42430</v>
      </c>
      <c r="E17" s="6">
        <v>42439</v>
      </c>
      <c r="F17" s="49">
        <f>ROUND((E17-D17)/7,0)</f>
        <v>1</v>
      </c>
      <c r="G17" s="3">
        <v>1</v>
      </c>
      <c r="H17" s="50">
        <f>IF(G17/C17&gt;1,1,G17/C17)</f>
        <v>1</v>
      </c>
      <c r="I17" s="51">
        <f>+F17*H17</f>
        <v>1</v>
      </c>
      <c r="J17" s="51">
        <f>IF(E17&lt;=$J$1,I17,0)</f>
        <v>1</v>
      </c>
      <c r="K17" s="52">
        <f>IF($J$1&gt;=E17,F17,0)</f>
        <v>1</v>
      </c>
      <c r="L17" s="3"/>
      <c r="M17" s="3"/>
      <c r="N17" s="3" t="s">
        <v>78</v>
      </c>
      <c r="O17" s="3"/>
      <c r="P17" s="3"/>
      <c r="Q17" s="3"/>
      <c r="R17" s="3"/>
      <c r="S17" s="3"/>
      <c r="T17" s="3"/>
      <c r="U17" s="3"/>
      <c r="V17" s="3"/>
      <c r="W17" s="3"/>
      <c r="AB17" s="1">
        <f>1-39.75</f>
        <v>-38.75</v>
      </c>
    </row>
    <row r="18" spans="1:28" ht="204.6" customHeight="1" x14ac:dyDescent="0.25">
      <c r="A18" s="5"/>
      <c r="B18" s="5" t="s">
        <v>12</v>
      </c>
      <c r="C18" s="5">
        <v>1</v>
      </c>
      <c r="D18" s="6">
        <v>42491</v>
      </c>
      <c r="E18" s="6">
        <v>42503</v>
      </c>
      <c r="F18" s="49">
        <f>ROUND((E18-D18)/7,0)</f>
        <v>2</v>
      </c>
      <c r="G18" s="3">
        <v>1</v>
      </c>
      <c r="H18" s="50">
        <f>IF(G18/C18&gt;1,1,G18/C18)</f>
        <v>1</v>
      </c>
      <c r="I18" s="51">
        <f>+F18*H18</f>
        <v>2</v>
      </c>
      <c r="J18" s="51">
        <f>IF(E18&lt;=$J$1,I18,0)</f>
        <v>2</v>
      </c>
      <c r="K18" s="52">
        <f>IF($J$1&gt;=E18,F18,0)</f>
        <v>2</v>
      </c>
      <c r="L18" s="3"/>
      <c r="M18" s="3"/>
      <c r="N18" s="3"/>
      <c r="O18" s="3"/>
      <c r="P18" s="3"/>
      <c r="Q18" s="31" t="s">
        <v>103</v>
      </c>
      <c r="R18" s="31"/>
      <c r="S18" s="3"/>
      <c r="T18" s="3"/>
      <c r="U18" s="3"/>
      <c r="V18" s="3"/>
      <c r="W18" s="3"/>
      <c r="AA18" s="1">
        <f>1/8</f>
        <v>0.125</v>
      </c>
    </row>
    <row r="19" spans="1:28" s="73" customFormat="1" ht="129" customHeight="1" x14ac:dyDescent="0.25">
      <c r="A19" s="5"/>
      <c r="B19" s="5" t="s">
        <v>13</v>
      </c>
      <c r="C19" s="5">
        <v>1</v>
      </c>
      <c r="D19" s="19">
        <v>42583</v>
      </c>
      <c r="E19" s="19">
        <v>42598</v>
      </c>
      <c r="F19" s="49">
        <f>ROUND((E19-D19)/7,0)</f>
        <v>2</v>
      </c>
      <c r="G19" s="5">
        <v>1</v>
      </c>
      <c r="H19" s="50">
        <f>IF(G19/C19&gt;1,1,G19/C19)</f>
        <v>1</v>
      </c>
      <c r="I19" s="51">
        <f>+F19*H19</f>
        <v>2</v>
      </c>
      <c r="J19" s="51">
        <f>IF(E19&lt;=$J$1,I19,0)</f>
        <v>2</v>
      </c>
      <c r="K19" s="52">
        <f>IF($J$1&gt;=E19,F19,0)</f>
        <v>2</v>
      </c>
      <c r="L19" s="5"/>
      <c r="M19" s="5"/>
      <c r="N19" s="5"/>
      <c r="O19" s="5"/>
      <c r="P19" s="5"/>
      <c r="Q19" s="5"/>
      <c r="R19" s="5"/>
      <c r="S19" s="5" t="s">
        <v>125</v>
      </c>
      <c r="T19" s="5" t="s">
        <v>132</v>
      </c>
      <c r="U19" s="5"/>
      <c r="V19" s="5"/>
      <c r="W19" s="5"/>
      <c r="AA19" s="73">
        <v>0.5</v>
      </c>
    </row>
    <row r="20" spans="1:28" ht="96.6" customHeight="1" x14ac:dyDescent="0.25">
      <c r="A20" s="5"/>
      <c r="B20" s="5" t="s">
        <v>14</v>
      </c>
      <c r="C20" s="5">
        <v>1</v>
      </c>
      <c r="D20" s="19">
        <v>42675</v>
      </c>
      <c r="E20" s="19">
        <v>42689</v>
      </c>
      <c r="F20" s="49">
        <f>ROUND((E20-D20)/7,0)</f>
        <v>2</v>
      </c>
      <c r="G20" s="5">
        <v>1</v>
      </c>
      <c r="H20" s="50">
        <f>IF(G20/C20&gt;1,1,G20/C20)</f>
        <v>1</v>
      </c>
      <c r="I20" s="51">
        <f>+F20*H20</f>
        <v>2</v>
      </c>
      <c r="J20" s="51">
        <f>IF(E20&lt;=$J$1,I20,0)</f>
        <v>2</v>
      </c>
      <c r="K20" s="52">
        <f>IF($J$1&gt;=E20,F20,0)</f>
        <v>2</v>
      </c>
      <c r="L20" s="5"/>
      <c r="M20" s="5"/>
      <c r="N20" s="5"/>
      <c r="O20" s="5"/>
      <c r="P20" s="5"/>
      <c r="Q20" s="5"/>
      <c r="R20" s="5"/>
      <c r="S20" s="5"/>
      <c r="T20" s="5"/>
      <c r="U20" s="5"/>
      <c r="V20" s="5" t="s">
        <v>204</v>
      </c>
      <c r="W20" s="5"/>
      <c r="AA20" s="1">
        <v>0.222</v>
      </c>
    </row>
    <row r="21" spans="1:28" ht="56.45" customHeight="1" x14ac:dyDescent="0.25">
      <c r="A21" s="23">
        <v>7</v>
      </c>
      <c r="B21" s="23" t="s">
        <v>2</v>
      </c>
      <c r="C21" s="23"/>
      <c r="D21" s="26"/>
      <c r="E21" s="26"/>
      <c r="F21" s="74"/>
      <c r="G21" s="23"/>
      <c r="H21" s="75"/>
      <c r="I21" s="76"/>
      <c r="J21" s="76"/>
      <c r="K21" s="77"/>
      <c r="L21" s="24"/>
      <c r="M21" s="24"/>
      <c r="N21" s="24"/>
      <c r="O21" s="24"/>
      <c r="P21" s="24"/>
      <c r="Q21" s="24"/>
      <c r="R21" s="24"/>
      <c r="S21" s="24"/>
      <c r="T21" s="24"/>
      <c r="U21" s="15"/>
      <c r="V21" s="15"/>
      <c r="W21" s="15"/>
      <c r="AA21" s="1">
        <f>AA19-AA20</f>
        <v>0.27800000000000002</v>
      </c>
    </row>
    <row r="22" spans="1:28" ht="90.6" customHeight="1" x14ac:dyDescent="0.25">
      <c r="A22" s="143"/>
      <c r="B22" s="5" t="s">
        <v>18</v>
      </c>
      <c r="C22" s="5">
        <v>1</v>
      </c>
      <c r="D22" s="6">
        <v>42370</v>
      </c>
      <c r="E22" s="6">
        <v>42399</v>
      </c>
      <c r="F22" s="49">
        <f>ROUND((E22-D22)/7,0)</f>
        <v>4</v>
      </c>
      <c r="G22" s="3">
        <v>1</v>
      </c>
      <c r="H22" s="50">
        <f>IF(G22/C22&gt;1,1,G22/C22)</f>
        <v>1</v>
      </c>
      <c r="I22" s="51">
        <f>+F22*H22</f>
        <v>4</v>
      </c>
      <c r="J22" s="51">
        <f>IF(E22&lt;=$J$1,I22,0)</f>
        <v>4</v>
      </c>
      <c r="K22" s="52">
        <f>IF($J$1&gt;=E22,F22,0)</f>
        <v>4</v>
      </c>
      <c r="L22" s="3"/>
      <c r="M22" s="3" t="s">
        <v>79</v>
      </c>
      <c r="N22" s="3"/>
      <c r="O22" s="3"/>
      <c r="P22" s="3"/>
      <c r="Q22" s="3"/>
      <c r="R22" s="3"/>
      <c r="S22" s="3"/>
      <c r="T22" s="3"/>
      <c r="U22" s="3"/>
      <c r="V22" s="3"/>
      <c r="W22" s="3"/>
    </row>
    <row r="23" spans="1:28" ht="129" customHeight="1" x14ac:dyDescent="0.25">
      <c r="A23" s="143"/>
      <c r="B23" s="5" t="s">
        <v>19</v>
      </c>
      <c r="C23" s="5">
        <v>1</v>
      </c>
      <c r="D23" s="6">
        <v>42552</v>
      </c>
      <c r="E23" s="6">
        <v>42581</v>
      </c>
      <c r="F23" s="49">
        <f>ROUND((E23-D23)/7,0)</f>
        <v>4</v>
      </c>
      <c r="G23" s="3">
        <v>1</v>
      </c>
      <c r="H23" s="50">
        <f>IF(G23/C23&gt;1,1,G23/C23)</f>
        <v>1</v>
      </c>
      <c r="I23" s="51">
        <f>+F23*H23</f>
        <v>4</v>
      </c>
      <c r="J23" s="51">
        <f>IF(E23&lt;=$J$1,I23,0)</f>
        <v>4</v>
      </c>
      <c r="K23" s="52">
        <f>IF($J$1&gt;=E23,F23,0)</f>
        <v>4</v>
      </c>
      <c r="L23" s="3"/>
      <c r="M23" s="3"/>
      <c r="N23" s="3"/>
      <c r="O23" s="3"/>
      <c r="P23" s="3"/>
      <c r="Q23" s="3"/>
      <c r="R23" s="3" t="s">
        <v>206</v>
      </c>
      <c r="S23" s="3"/>
      <c r="T23" s="3"/>
      <c r="U23" s="3"/>
      <c r="V23" s="3"/>
      <c r="W23" s="3"/>
    </row>
    <row r="24" spans="1:28" ht="37.15" customHeight="1" x14ac:dyDescent="0.25">
      <c r="A24" s="23">
        <v>8</v>
      </c>
      <c r="B24" s="23" t="s">
        <v>3</v>
      </c>
      <c r="C24" s="23"/>
      <c r="D24" s="26"/>
      <c r="E24" s="26"/>
      <c r="F24" s="74"/>
      <c r="G24" s="23"/>
      <c r="H24" s="75"/>
      <c r="I24" s="79"/>
      <c r="J24" s="79"/>
      <c r="K24" s="80"/>
      <c r="L24" s="24"/>
      <c r="M24" s="24"/>
      <c r="N24" s="24"/>
      <c r="O24" s="24"/>
      <c r="P24" s="24"/>
      <c r="Q24" s="24"/>
      <c r="R24" s="24"/>
      <c r="S24" s="24"/>
      <c r="T24" s="24"/>
      <c r="U24" s="15"/>
      <c r="V24" s="15"/>
      <c r="W24" s="15"/>
    </row>
    <row r="25" spans="1:28" ht="114" customHeight="1" x14ac:dyDescent="0.25">
      <c r="A25" s="5"/>
      <c r="B25" s="5" t="s">
        <v>18</v>
      </c>
      <c r="C25" s="5">
        <v>1</v>
      </c>
      <c r="D25" s="19">
        <v>42401</v>
      </c>
      <c r="E25" s="19">
        <v>42445</v>
      </c>
      <c r="F25" s="49">
        <f>ROUND((E25-D25)/7,0)</f>
        <v>6</v>
      </c>
      <c r="G25" s="5">
        <v>1</v>
      </c>
      <c r="H25" s="50">
        <f>IF(G25/C25&gt;1,1,G25/C25)</f>
        <v>1</v>
      </c>
      <c r="I25" s="51">
        <f>+F25*H25</f>
        <v>6</v>
      </c>
      <c r="J25" s="51">
        <f>IF(E25&lt;=$J$1,I25,0)</f>
        <v>6</v>
      </c>
      <c r="K25" s="52">
        <f>IF($J$1&gt;=E25,F25,0)</f>
        <v>6</v>
      </c>
      <c r="L25" s="5"/>
      <c r="M25" s="3"/>
      <c r="N25" s="3"/>
      <c r="O25" s="3" t="s">
        <v>102</v>
      </c>
      <c r="P25" s="3"/>
      <c r="Q25" s="3"/>
      <c r="R25" s="3"/>
      <c r="S25" s="3"/>
      <c r="T25" s="3"/>
      <c r="U25" s="3"/>
      <c r="V25" s="3"/>
      <c r="W25" s="3"/>
    </row>
    <row r="26" spans="1:28" ht="89.45" customHeight="1" x14ac:dyDescent="0.25">
      <c r="A26" s="5"/>
      <c r="B26" s="5" t="s">
        <v>20</v>
      </c>
      <c r="C26" s="5">
        <v>1</v>
      </c>
      <c r="D26" s="19">
        <v>42552</v>
      </c>
      <c r="E26" s="19">
        <v>42581</v>
      </c>
      <c r="F26" s="49">
        <f>ROUND((E26-D26)/7,0)</f>
        <v>4</v>
      </c>
      <c r="G26" s="5">
        <v>1</v>
      </c>
      <c r="H26" s="50">
        <f>IF(G26/C26&gt;1,1,G26/C26)</f>
        <v>1</v>
      </c>
      <c r="I26" s="51">
        <f>+F26*H26</f>
        <v>4</v>
      </c>
      <c r="J26" s="51">
        <f>IF(E26&lt;=$J$1,I26,0)</f>
        <v>4</v>
      </c>
      <c r="K26" s="52">
        <f>IF($J$1&gt;=E26,F26,0)</f>
        <v>4</v>
      </c>
      <c r="L26" s="3"/>
      <c r="M26" s="3"/>
      <c r="N26" s="3"/>
      <c r="O26" s="3"/>
      <c r="P26" s="3"/>
      <c r="Q26" s="3"/>
      <c r="R26" s="3"/>
      <c r="S26" s="3"/>
      <c r="T26" s="5" t="s">
        <v>130</v>
      </c>
      <c r="U26" s="3"/>
      <c r="V26" s="3"/>
      <c r="W26" s="3"/>
    </row>
    <row r="27" spans="1:28" ht="48.6" customHeight="1" x14ac:dyDescent="0.25">
      <c r="A27" s="23">
        <v>9</v>
      </c>
      <c r="B27" s="23" t="s">
        <v>4</v>
      </c>
      <c r="C27" s="23"/>
      <c r="D27" s="26"/>
      <c r="E27" s="26"/>
      <c r="F27" s="74"/>
      <c r="G27" s="23"/>
      <c r="H27" s="75"/>
      <c r="I27" s="76"/>
      <c r="J27" s="76"/>
      <c r="K27" s="77"/>
      <c r="L27" s="24"/>
      <c r="M27" s="24"/>
      <c r="N27" s="24"/>
      <c r="O27" s="24"/>
      <c r="P27" s="24"/>
      <c r="Q27" s="24"/>
      <c r="R27" s="24"/>
      <c r="S27" s="24"/>
      <c r="T27" s="24"/>
      <c r="U27" s="15"/>
      <c r="V27" s="15"/>
      <c r="W27" s="15"/>
    </row>
    <row r="28" spans="1:28" ht="91.9" customHeight="1" x14ac:dyDescent="0.25">
      <c r="A28" s="3"/>
      <c r="B28" s="3" t="s">
        <v>18</v>
      </c>
      <c r="C28" s="3">
        <v>1</v>
      </c>
      <c r="D28" s="6">
        <v>42415</v>
      </c>
      <c r="E28" s="6">
        <v>42444</v>
      </c>
      <c r="F28" s="49">
        <f>ROUND((E28-D28)/7,0)</f>
        <v>4</v>
      </c>
      <c r="G28" s="3">
        <v>1</v>
      </c>
      <c r="H28" s="50">
        <f>IF(G28/C28&gt;1,1,G28/C28)</f>
        <v>1</v>
      </c>
      <c r="I28" s="51">
        <f>+F28*H28</f>
        <v>4</v>
      </c>
      <c r="J28" s="51">
        <f>IF(E28&lt;=$J$1,I28,0)</f>
        <v>4</v>
      </c>
      <c r="K28" s="52">
        <f>IF($J$1&gt;=E28,F28,0)</f>
        <v>4</v>
      </c>
      <c r="L28" s="3"/>
      <c r="M28" s="3"/>
      <c r="N28" s="3" t="s">
        <v>77</v>
      </c>
      <c r="O28" s="3"/>
      <c r="P28" s="3"/>
      <c r="Q28" s="3"/>
      <c r="R28" s="3"/>
      <c r="S28" s="3"/>
      <c r="T28" s="3"/>
      <c r="U28" s="3"/>
      <c r="V28" s="3"/>
      <c r="W28" s="3"/>
    </row>
    <row r="29" spans="1:28" ht="1.1499999999999999" customHeight="1" x14ac:dyDescent="0.25">
      <c r="A29" s="3"/>
      <c r="B29" s="3" t="s">
        <v>19</v>
      </c>
      <c r="C29" s="3">
        <v>1</v>
      </c>
      <c r="D29" s="6">
        <v>42552</v>
      </c>
      <c r="E29" s="13">
        <v>42613</v>
      </c>
      <c r="F29" s="49">
        <f>ROUND((E29-D29)/7,0)</f>
        <v>9</v>
      </c>
      <c r="G29" s="5">
        <v>1</v>
      </c>
      <c r="H29" s="50">
        <f>IF(G29/C29&gt;1,1,G29/C29)</f>
        <v>1</v>
      </c>
      <c r="I29" s="51">
        <f>+F29*H29</f>
        <v>9</v>
      </c>
      <c r="J29" s="51">
        <f>IF(E29&lt;=$J$1,I29,0)</f>
        <v>9</v>
      </c>
      <c r="K29" s="52">
        <f>IF($J$1&gt;=E29,F29,0)</f>
        <v>9</v>
      </c>
      <c r="L29" s="3"/>
      <c r="M29" s="3"/>
      <c r="N29" s="3"/>
      <c r="O29" s="3"/>
      <c r="P29" s="3"/>
      <c r="Q29" s="3"/>
      <c r="R29" s="3" t="s">
        <v>115</v>
      </c>
      <c r="S29" s="3" t="s">
        <v>120</v>
      </c>
      <c r="T29" s="3"/>
      <c r="U29" s="3"/>
      <c r="V29" s="3"/>
      <c r="W29" s="3"/>
    </row>
    <row r="30" spans="1:28" ht="0.6" customHeight="1" x14ac:dyDescent="0.3">
      <c r="A30" s="23">
        <v>10</v>
      </c>
      <c r="B30" s="23" t="s">
        <v>5</v>
      </c>
      <c r="C30" s="23">
        <v>1</v>
      </c>
      <c r="D30" s="26">
        <v>42371</v>
      </c>
      <c r="E30" s="26">
        <v>42399</v>
      </c>
      <c r="F30" s="49">
        <f>ROUND((E30-D30)/7,0)</f>
        <v>4</v>
      </c>
      <c r="G30" s="23">
        <v>1</v>
      </c>
      <c r="H30" s="50">
        <f>IF(G30/C30&gt;1,1,G30/C30)</f>
        <v>1</v>
      </c>
      <c r="I30" s="51">
        <f>+F30*H30</f>
        <v>4</v>
      </c>
      <c r="J30" s="51">
        <f>IF(E30&lt;=$J$1,I30,0)</f>
        <v>4</v>
      </c>
      <c r="K30" s="52">
        <f>IF($J$1&gt;=E30,F30,0)</f>
        <v>4</v>
      </c>
      <c r="L30" s="24" t="s">
        <v>80</v>
      </c>
      <c r="M30" s="24"/>
      <c r="N30" s="24"/>
      <c r="O30" s="24"/>
      <c r="P30" s="24"/>
      <c r="Q30" s="24"/>
      <c r="R30" s="24"/>
      <c r="S30" s="24"/>
      <c r="T30" s="24"/>
      <c r="U30" s="15"/>
      <c r="V30" s="15"/>
      <c r="W30" s="15"/>
    </row>
    <row r="31" spans="1:28" ht="67.150000000000006" customHeight="1" x14ac:dyDescent="0.25">
      <c r="A31" s="23">
        <v>11</v>
      </c>
      <c r="B31" s="23" t="s">
        <v>6</v>
      </c>
      <c r="C31" s="23">
        <v>1</v>
      </c>
      <c r="D31" s="26">
        <v>42430</v>
      </c>
      <c r="E31" s="26">
        <v>42445</v>
      </c>
      <c r="F31" s="49">
        <f>ROUND((E31-D31)/7,0)</f>
        <v>2</v>
      </c>
      <c r="G31" s="23">
        <v>1</v>
      </c>
      <c r="H31" s="50">
        <f>IF(G31/C31&gt;1,1,G31/C31)</f>
        <v>1</v>
      </c>
      <c r="I31" s="51">
        <f>+F31*H31</f>
        <v>2</v>
      </c>
      <c r="J31" s="51">
        <f>IF(E31&lt;=$J$1,I31,0)</f>
        <v>2</v>
      </c>
      <c r="K31" s="52">
        <f>IF($J$1&gt;=E31,F31,0)</f>
        <v>2</v>
      </c>
      <c r="L31" s="24"/>
      <c r="M31" s="24"/>
      <c r="N31" s="32" t="s">
        <v>90</v>
      </c>
      <c r="O31" s="24"/>
      <c r="P31" s="24"/>
      <c r="Q31" s="24"/>
      <c r="R31" s="24"/>
      <c r="S31" s="24"/>
      <c r="T31" s="24"/>
      <c r="U31" s="15"/>
      <c r="V31" s="15"/>
      <c r="W31" s="15"/>
    </row>
    <row r="32" spans="1:28" s="82" customFormat="1" ht="46.15" customHeight="1" x14ac:dyDescent="0.25">
      <c r="A32" s="145" t="s">
        <v>48</v>
      </c>
      <c r="B32" s="146"/>
      <c r="C32" s="16">
        <f>SUM(C3:C31)</f>
        <v>19</v>
      </c>
      <c r="D32" s="16"/>
      <c r="E32" s="16"/>
      <c r="F32" s="81">
        <f t="shared" ref="F32:K32" si="0">SUM(F3:F31)</f>
        <v>71</v>
      </c>
      <c r="G32" s="81">
        <f t="shared" si="0"/>
        <v>19</v>
      </c>
      <c r="H32" s="81">
        <f t="shared" si="0"/>
        <v>18</v>
      </c>
      <c r="I32" s="81">
        <f t="shared" si="0"/>
        <v>71</v>
      </c>
      <c r="J32" s="81">
        <f t="shared" si="0"/>
        <v>71</v>
      </c>
      <c r="K32" s="81">
        <f t="shared" si="0"/>
        <v>71</v>
      </c>
      <c r="L32" s="16"/>
      <c r="M32" s="16"/>
      <c r="N32" s="16"/>
      <c r="O32" s="16"/>
      <c r="P32" s="16"/>
      <c r="Q32" s="16"/>
      <c r="R32" s="16"/>
      <c r="S32" s="16"/>
      <c r="T32" s="16"/>
      <c r="U32" s="16"/>
      <c r="V32" s="16"/>
      <c r="W32" s="16"/>
    </row>
    <row r="33" spans="1:23" s="82" customFormat="1" ht="46.15" customHeight="1" x14ac:dyDescent="0.25">
      <c r="A33" s="139" t="s">
        <v>82</v>
      </c>
      <c r="B33" s="149"/>
      <c r="C33" s="83">
        <f>C32*20%</f>
        <v>3.8000000000000003</v>
      </c>
      <c r="D33" s="83"/>
      <c r="E33" s="83"/>
      <c r="F33" s="83">
        <f t="shared" ref="F33:K33" si="1">F32*20%</f>
        <v>14.200000000000001</v>
      </c>
      <c r="G33" s="83">
        <f t="shared" si="1"/>
        <v>3.8000000000000003</v>
      </c>
      <c r="H33" s="83">
        <f t="shared" si="1"/>
        <v>3.6</v>
      </c>
      <c r="I33" s="83">
        <f t="shared" si="1"/>
        <v>14.200000000000001</v>
      </c>
      <c r="J33" s="83">
        <f t="shared" si="1"/>
        <v>14.200000000000001</v>
      </c>
      <c r="K33" s="83">
        <f t="shared" si="1"/>
        <v>14.200000000000001</v>
      </c>
      <c r="L33" s="20"/>
      <c r="M33" s="20"/>
      <c r="N33" s="20"/>
      <c r="O33" s="20"/>
      <c r="P33" s="20"/>
      <c r="Q33" s="20"/>
      <c r="R33" s="20"/>
      <c r="S33" s="20"/>
      <c r="T33" s="16"/>
      <c r="U33" s="16"/>
      <c r="V33" s="16"/>
      <c r="W33" s="16"/>
    </row>
    <row r="34" spans="1:23" ht="54" customHeight="1" x14ac:dyDescent="0.25">
      <c r="A34" s="147" t="s">
        <v>26</v>
      </c>
      <c r="B34" s="148"/>
      <c r="C34" s="21"/>
      <c r="D34" s="21"/>
      <c r="E34" s="21"/>
      <c r="F34" s="21"/>
      <c r="G34" s="21"/>
      <c r="H34" s="84"/>
      <c r="I34" s="85"/>
      <c r="J34" s="85"/>
      <c r="K34" s="86"/>
      <c r="L34" s="15"/>
      <c r="M34" s="15"/>
      <c r="N34" s="15"/>
      <c r="O34" s="15"/>
      <c r="P34" s="15"/>
      <c r="Q34" s="15"/>
      <c r="R34" s="15"/>
      <c r="S34" s="15"/>
      <c r="T34" s="15"/>
      <c r="U34" s="15"/>
      <c r="V34" s="15"/>
      <c r="W34" s="15"/>
    </row>
    <row r="35" spans="1:23" ht="80.45" customHeight="1" x14ac:dyDescent="0.25">
      <c r="A35" s="5">
        <v>12</v>
      </c>
      <c r="B35" s="5" t="s">
        <v>88</v>
      </c>
      <c r="C35" s="5">
        <v>1</v>
      </c>
      <c r="D35" s="19">
        <v>42583</v>
      </c>
      <c r="E35" s="19">
        <v>42719</v>
      </c>
      <c r="F35" s="49">
        <f t="shared" ref="F35:F41" si="2">ROUND((E35-D35)/7,0)</f>
        <v>19</v>
      </c>
      <c r="G35" s="87">
        <v>1</v>
      </c>
      <c r="H35" s="88">
        <f>IF(G35/C35&gt;1,1,G35/C35)</f>
        <v>1</v>
      </c>
      <c r="I35" s="51">
        <f t="shared" ref="I35:I41" si="3">+F35*H35</f>
        <v>19</v>
      </c>
      <c r="J35" s="51">
        <f t="shared" ref="J35:J41" si="4">IF(E35&lt;=$J$1,I35,0)</f>
        <v>19</v>
      </c>
      <c r="K35" s="52">
        <f t="shared" ref="K35:K41" si="5">IF($J$1&gt;=E35,F35,0)</f>
        <v>19</v>
      </c>
      <c r="L35" s="132"/>
      <c r="M35" s="132"/>
      <c r="N35" s="132"/>
      <c r="O35" s="132"/>
      <c r="P35" s="132"/>
      <c r="Q35" s="132"/>
      <c r="R35" s="132"/>
      <c r="S35" s="132"/>
      <c r="T35" s="3"/>
      <c r="U35" s="3"/>
      <c r="V35" s="3"/>
      <c r="W35" s="3"/>
    </row>
    <row r="36" spans="1:23" ht="258.60000000000002" customHeight="1" x14ac:dyDescent="0.25">
      <c r="A36" s="3">
        <v>13</v>
      </c>
      <c r="B36" s="5" t="s">
        <v>27</v>
      </c>
      <c r="C36" s="5">
        <v>1</v>
      </c>
      <c r="D36" s="19">
        <v>42552</v>
      </c>
      <c r="E36" s="19">
        <v>42582</v>
      </c>
      <c r="F36" s="49">
        <f t="shared" si="2"/>
        <v>4</v>
      </c>
      <c r="G36" s="5">
        <v>1</v>
      </c>
      <c r="H36" s="89">
        <f t="shared" ref="H36:H41" si="6">IF(G36/C36&gt;1,1,G36/C36)</f>
        <v>1</v>
      </c>
      <c r="I36" s="51">
        <f t="shared" si="3"/>
        <v>4</v>
      </c>
      <c r="J36" s="51">
        <f t="shared" si="4"/>
        <v>4</v>
      </c>
      <c r="K36" s="52">
        <f t="shared" si="5"/>
        <v>4</v>
      </c>
      <c r="L36" s="3"/>
      <c r="M36" s="3"/>
      <c r="N36" s="3"/>
      <c r="O36" s="3"/>
      <c r="P36" s="3"/>
      <c r="Q36" s="3"/>
      <c r="R36" s="3" t="s">
        <v>112</v>
      </c>
      <c r="S36" s="3" t="s">
        <v>122</v>
      </c>
      <c r="T36" s="3"/>
      <c r="U36" s="3"/>
      <c r="V36" s="3"/>
      <c r="W36" s="3" t="s">
        <v>212</v>
      </c>
    </row>
    <row r="37" spans="1:23" ht="0.6" customHeight="1" x14ac:dyDescent="0.3">
      <c r="A37" s="3">
        <v>14</v>
      </c>
      <c r="B37" s="5" t="s">
        <v>28</v>
      </c>
      <c r="C37" s="5">
        <v>3</v>
      </c>
      <c r="D37" s="19">
        <v>42552</v>
      </c>
      <c r="E37" s="19">
        <v>42689</v>
      </c>
      <c r="F37" s="61">
        <f t="shared" si="2"/>
        <v>20</v>
      </c>
      <c r="G37" s="90">
        <v>3</v>
      </c>
      <c r="H37" s="89">
        <f t="shared" si="6"/>
        <v>1</v>
      </c>
      <c r="I37" s="51">
        <f t="shared" si="3"/>
        <v>20</v>
      </c>
      <c r="J37" s="51">
        <f t="shared" si="4"/>
        <v>20</v>
      </c>
      <c r="K37" s="52">
        <f t="shared" si="5"/>
        <v>20</v>
      </c>
      <c r="L37" s="3"/>
      <c r="M37" s="3"/>
      <c r="N37" s="3"/>
      <c r="O37" s="3"/>
      <c r="P37" s="3"/>
      <c r="Q37" s="3"/>
      <c r="R37" s="3" t="s">
        <v>117</v>
      </c>
      <c r="S37" s="3"/>
      <c r="T37" s="3"/>
      <c r="U37" s="3"/>
      <c r="V37" s="3"/>
      <c r="W37" s="22" t="s">
        <v>212</v>
      </c>
    </row>
    <row r="38" spans="1:23" ht="0.6" customHeight="1" x14ac:dyDescent="0.3">
      <c r="A38" s="3">
        <v>15</v>
      </c>
      <c r="B38" s="3" t="s">
        <v>29</v>
      </c>
      <c r="C38" s="3">
        <v>1</v>
      </c>
      <c r="D38" s="19">
        <v>42430</v>
      </c>
      <c r="E38" s="19">
        <v>42459</v>
      </c>
      <c r="F38" s="49">
        <f t="shared" si="2"/>
        <v>4</v>
      </c>
      <c r="G38" s="5">
        <v>1</v>
      </c>
      <c r="H38" s="89">
        <f t="shared" si="6"/>
        <v>1</v>
      </c>
      <c r="I38" s="51">
        <f t="shared" si="3"/>
        <v>4</v>
      </c>
      <c r="J38" s="51">
        <f t="shared" si="4"/>
        <v>4</v>
      </c>
      <c r="K38" s="52">
        <f t="shared" si="5"/>
        <v>4</v>
      </c>
      <c r="L38" s="3"/>
      <c r="M38" s="3"/>
      <c r="N38" s="3"/>
      <c r="O38" s="3" t="s">
        <v>91</v>
      </c>
      <c r="P38" s="5" t="s">
        <v>98</v>
      </c>
      <c r="Q38" s="3"/>
      <c r="R38" s="3"/>
      <c r="S38" s="3"/>
      <c r="T38" s="3"/>
      <c r="U38" s="3"/>
      <c r="V38" s="3"/>
      <c r="W38" s="3"/>
    </row>
    <row r="39" spans="1:23" ht="81" customHeight="1" x14ac:dyDescent="0.25">
      <c r="A39" s="3">
        <v>16</v>
      </c>
      <c r="B39" s="3" t="s">
        <v>30</v>
      </c>
      <c r="C39" s="3">
        <v>1</v>
      </c>
      <c r="D39" s="91">
        <v>42461</v>
      </c>
      <c r="E39" s="91">
        <v>42490</v>
      </c>
      <c r="F39" s="49">
        <f t="shared" si="2"/>
        <v>4</v>
      </c>
      <c r="G39" s="92">
        <v>1</v>
      </c>
      <c r="H39" s="93">
        <f t="shared" si="6"/>
        <v>1</v>
      </c>
      <c r="I39" s="51">
        <f t="shared" si="3"/>
        <v>4</v>
      </c>
      <c r="J39" s="51">
        <f t="shared" si="4"/>
        <v>4</v>
      </c>
      <c r="K39" s="52">
        <f t="shared" si="5"/>
        <v>4</v>
      </c>
      <c r="L39" s="3"/>
      <c r="M39" s="3"/>
      <c r="N39" s="3"/>
      <c r="O39" s="3"/>
      <c r="P39" s="3"/>
      <c r="Q39" s="3"/>
      <c r="R39" s="3"/>
      <c r="S39" s="3"/>
      <c r="T39" s="3" t="s">
        <v>131</v>
      </c>
      <c r="U39" s="3"/>
      <c r="V39" s="3"/>
      <c r="W39" s="3"/>
    </row>
    <row r="40" spans="1:23" ht="3" customHeight="1" x14ac:dyDescent="0.25">
      <c r="A40" s="3">
        <v>17</v>
      </c>
      <c r="B40" s="3" t="s">
        <v>31</v>
      </c>
      <c r="C40" s="3">
        <v>1</v>
      </c>
      <c r="D40" s="91">
        <v>42491</v>
      </c>
      <c r="E40" s="91">
        <v>42521</v>
      </c>
      <c r="F40" s="49">
        <f t="shared" si="2"/>
        <v>4</v>
      </c>
      <c r="G40" s="92">
        <v>1</v>
      </c>
      <c r="H40" s="89">
        <f t="shared" si="6"/>
        <v>1</v>
      </c>
      <c r="I40" s="51">
        <f t="shared" si="3"/>
        <v>4</v>
      </c>
      <c r="J40" s="51">
        <f t="shared" si="4"/>
        <v>4</v>
      </c>
      <c r="K40" s="52">
        <f t="shared" si="5"/>
        <v>4</v>
      </c>
      <c r="L40" s="3"/>
      <c r="M40" s="3"/>
      <c r="N40" s="3"/>
      <c r="O40" s="3"/>
      <c r="P40" s="3"/>
      <c r="Q40" s="5" t="s">
        <v>113</v>
      </c>
      <c r="R40" s="5" t="s">
        <v>114</v>
      </c>
      <c r="S40" s="3" t="s">
        <v>121</v>
      </c>
      <c r="T40" s="3"/>
      <c r="U40" s="3"/>
      <c r="V40" s="3"/>
      <c r="W40" s="3"/>
    </row>
    <row r="41" spans="1:23" ht="91.9" customHeight="1" x14ac:dyDescent="0.25">
      <c r="A41" s="3">
        <v>18</v>
      </c>
      <c r="B41" s="3" t="s">
        <v>95</v>
      </c>
      <c r="C41" s="3">
        <v>1</v>
      </c>
      <c r="D41" s="6">
        <v>42598</v>
      </c>
      <c r="E41" s="6">
        <v>42612</v>
      </c>
      <c r="F41" s="49">
        <f t="shared" si="2"/>
        <v>2</v>
      </c>
      <c r="G41" s="5">
        <v>2</v>
      </c>
      <c r="H41" s="89">
        <f t="shared" si="6"/>
        <v>1</v>
      </c>
      <c r="I41" s="51">
        <f t="shared" si="3"/>
        <v>2</v>
      </c>
      <c r="J41" s="51">
        <f t="shared" si="4"/>
        <v>2</v>
      </c>
      <c r="K41" s="52">
        <f t="shared" si="5"/>
        <v>2</v>
      </c>
      <c r="L41" s="3"/>
      <c r="M41" s="3"/>
      <c r="N41" s="3"/>
      <c r="O41" s="3"/>
      <c r="P41" s="3"/>
      <c r="Q41" s="3" t="s">
        <v>108</v>
      </c>
      <c r="R41" s="3" t="s">
        <v>111</v>
      </c>
      <c r="S41" s="3"/>
      <c r="T41" s="3"/>
      <c r="U41" s="5" t="s">
        <v>156</v>
      </c>
      <c r="V41" s="3"/>
      <c r="W41" s="3"/>
    </row>
    <row r="42" spans="1:23" ht="58.15" customHeight="1" x14ac:dyDescent="0.25">
      <c r="A42" s="7">
        <v>19</v>
      </c>
      <c r="B42" s="7" t="s">
        <v>32</v>
      </c>
      <c r="C42" s="7"/>
      <c r="D42" s="7"/>
      <c r="E42" s="7"/>
      <c r="F42" s="7"/>
      <c r="G42" s="7"/>
      <c r="H42" s="94"/>
      <c r="I42" s="95"/>
      <c r="J42" s="95"/>
      <c r="K42" s="96"/>
      <c r="L42" s="15"/>
      <c r="M42" s="15"/>
      <c r="N42" s="15"/>
      <c r="O42" s="15"/>
      <c r="P42" s="15"/>
      <c r="Q42" s="15"/>
      <c r="R42" s="15"/>
      <c r="S42" s="15"/>
      <c r="T42" s="15"/>
      <c r="U42" s="15"/>
      <c r="V42" s="15"/>
      <c r="W42" s="15"/>
    </row>
    <row r="43" spans="1:23" ht="78" customHeight="1" x14ac:dyDescent="0.25">
      <c r="A43" s="144"/>
      <c r="B43" s="3" t="s">
        <v>12</v>
      </c>
      <c r="C43" s="3">
        <v>1</v>
      </c>
      <c r="D43" s="6">
        <v>42430</v>
      </c>
      <c r="E43" s="6">
        <v>42459</v>
      </c>
      <c r="F43" s="49">
        <f>ROUND((E43-D43)/7,0)</f>
        <v>4</v>
      </c>
      <c r="G43" s="3">
        <v>1</v>
      </c>
      <c r="H43" s="89">
        <f>IF(G43/C43&gt;1,1,G43/C43)</f>
        <v>1</v>
      </c>
      <c r="I43" s="51">
        <f>+F43*H43</f>
        <v>4</v>
      </c>
      <c r="J43" s="51">
        <f>IF(E43&lt;=$J$1,I43,0)</f>
        <v>4</v>
      </c>
      <c r="K43" s="52">
        <f>IF($J$1&gt;=E43,F43,0)</f>
        <v>4</v>
      </c>
      <c r="L43" s="3"/>
      <c r="M43" s="3"/>
      <c r="N43" s="3" t="s">
        <v>81</v>
      </c>
      <c r="O43" s="3"/>
      <c r="P43" s="3"/>
      <c r="Q43" s="3"/>
      <c r="R43" s="3"/>
      <c r="S43" s="3"/>
      <c r="T43" s="3"/>
      <c r="U43" s="3"/>
      <c r="V43" s="3"/>
      <c r="W43" s="3"/>
    </row>
    <row r="44" spans="1:23" ht="86.45" customHeight="1" x14ac:dyDescent="0.25">
      <c r="A44" s="144"/>
      <c r="B44" s="3" t="s">
        <v>13</v>
      </c>
      <c r="C44" s="3">
        <v>1</v>
      </c>
      <c r="D44" s="19">
        <v>42583</v>
      </c>
      <c r="E44" s="19">
        <v>42612</v>
      </c>
      <c r="F44" s="49">
        <f>ROUND((E44-D44)/7,0)</f>
        <v>4</v>
      </c>
      <c r="G44" s="5">
        <v>1</v>
      </c>
      <c r="H44" s="89">
        <f>IF(G44/C44&gt;1,1,G44/C44)</f>
        <v>1</v>
      </c>
      <c r="I44" s="51">
        <f>+F44*H44</f>
        <v>4</v>
      </c>
      <c r="J44" s="51">
        <f>IF(E44&lt;=$J$1,I44,0)</f>
        <v>4</v>
      </c>
      <c r="K44" s="52">
        <f>IF($J$1&gt;=E44,F44,0)</f>
        <v>4</v>
      </c>
      <c r="L44" s="3"/>
      <c r="M44" s="3"/>
      <c r="N44" s="3"/>
      <c r="O44" s="3"/>
      <c r="P44" s="3"/>
      <c r="Q44" s="3"/>
      <c r="R44" s="3"/>
      <c r="S44" s="3" t="s">
        <v>127</v>
      </c>
      <c r="T44" s="33" t="s">
        <v>133</v>
      </c>
      <c r="U44" s="3"/>
      <c r="V44" s="3"/>
      <c r="W44" s="3"/>
    </row>
    <row r="45" spans="1:23" ht="87.6" customHeight="1" x14ac:dyDescent="0.25">
      <c r="A45" s="144"/>
      <c r="B45" s="3" t="s">
        <v>14</v>
      </c>
      <c r="C45" s="3">
        <v>1</v>
      </c>
      <c r="D45" s="6">
        <v>42675</v>
      </c>
      <c r="E45" s="6">
        <v>42704</v>
      </c>
      <c r="F45" s="49">
        <f>ROUND((E45-D45)/7,0)</f>
        <v>4</v>
      </c>
      <c r="G45" s="5">
        <v>1</v>
      </c>
      <c r="H45" s="89">
        <v>1</v>
      </c>
      <c r="I45" s="51">
        <f>+F45*H45</f>
        <v>4</v>
      </c>
      <c r="J45" s="51">
        <f>IF(E45&lt;=$J$1,I45,0)</f>
        <v>4</v>
      </c>
      <c r="K45" s="52">
        <f>IF($J$1&gt;=E45,F45,0)</f>
        <v>4</v>
      </c>
      <c r="L45" s="3"/>
      <c r="M45" s="3"/>
      <c r="N45" s="3"/>
      <c r="O45" s="3"/>
      <c r="P45" s="3"/>
      <c r="Q45" s="3"/>
      <c r="R45" s="3"/>
      <c r="S45" s="3"/>
      <c r="T45" s="3"/>
      <c r="U45" s="5" t="s">
        <v>154</v>
      </c>
      <c r="V45" s="3"/>
      <c r="W45" s="3"/>
    </row>
    <row r="46" spans="1:23" ht="116.45" customHeight="1" x14ac:dyDescent="0.25">
      <c r="A46" s="21">
        <v>20</v>
      </c>
      <c r="B46" s="21" t="s">
        <v>33</v>
      </c>
      <c r="C46" s="21">
        <v>1</v>
      </c>
      <c r="D46" s="98">
        <v>42430</v>
      </c>
      <c r="E46" s="98">
        <v>42460</v>
      </c>
      <c r="F46" s="49">
        <f>ROUND((E46-D46)/7,0)</f>
        <v>4</v>
      </c>
      <c r="G46" s="21">
        <v>1</v>
      </c>
      <c r="H46" s="89">
        <f>IF(G46/C46&gt;1,1,G46/C46)</f>
        <v>1</v>
      </c>
      <c r="I46" s="51">
        <f>+F46*H46</f>
        <v>4</v>
      </c>
      <c r="J46" s="51">
        <f>IF(E46&lt;=$J$1,I46,0)</f>
        <v>4</v>
      </c>
      <c r="K46" s="52">
        <f>IF($J$1&gt;=E46,F46,0)</f>
        <v>4</v>
      </c>
      <c r="L46" s="21"/>
      <c r="M46" s="21"/>
      <c r="N46" s="21"/>
      <c r="O46" s="21" t="s">
        <v>93</v>
      </c>
      <c r="P46" s="21"/>
      <c r="Q46" s="21"/>
      <c r="R46" s="21"/>
      <c r="S46" s="21"/>
      <c r="T46" s="3"/>
      <c r="U46" s="33"/>
      <c r="V46" s="3"/>
      <c r="W46" s="3"/>
    </row>
    <row r="47" spans="1:23" ht="52.9" customHeight="1" x14ac:dyDescent="0.25">
      <c r="A47" s="7">
        <v>21</v>
      </c>
      <c r="B47" s="7" t="s">
        <v>34</v>
      </c>
      <c r="C47" s="7"/>
      <c r="D47" s="7"/>
      <c r="E47" s="7"/>
      <c r="F47" s="7"/>
      <c r="G47" s="7"/>
      <c r="H47" s="94"/>
      <c r="I47" s="95"/>
      <c r="J47" s="95"/>
      <c r="K47" s="96"/>
      <c r="L47" s="15"/>
      <c r="M47" s="15"/>
      <c r="N47" s="15"/>
      <c r="O47" s="15"/>
      <c r="P47" s="15"/>
      <c r="Q47" s="15"/>
      <c r="R47" s="15"/>
      <c r="S47" s="15"/>
      <c r="T47" s="15"/>
      <c r="U47" s="15"/>
      <c r="V47" s="15"/>
      <c r="W47" s="15"/>
    </row>
    <row r="48" spans="1:23" ht="215.45" customHeight="1" x14ac:dyDescent="0.25">
      <c r="A48" s="3"/>
      <c r="B48" s="3" t="s">
        <v>12</v>
      </c>
      <c r="C48" s="3">
        <v>1</v>
      </c>
      <c r="D48" s="6">
        <v>42522</v>
      </c>
      <c r="E48" s="6">
        <v>42536</v>
      </c>
      <c r="F48" s="49">
        <f>ROUND((E48-D48)/7,0)</f>
        <v>2</v>
      </c>
      <c r="G48" s="5">
        <v>1</v>
      </c>
      <c r="H48" s="89">
        <f>IF(G48/C48&gt;1,1,G48/C48)</f>
        <v>1</v>
      </c>
      <c r="I48" s="51">
        <f>+F48*H48</f>
        <v>2</v>
      </c>
      <c r="J48" s="51">
        <f>IF(E48&lt;=$J$1,I48,0)</f>
        <v>2</v>
      </c>
      <c r="K48" s="52">
        <f>IF($J$1&gt;=E48,F48,0)</f>
        <v>2</v>
      </c>
      <c r="L48" s="3"/>
      <c r="M48" s="3"/>
      <c r="N48" s="3"/>
      <c r="O48" s="3"/>
      <c r="P48" s="3" t="s">
        <v>96</v>
      </c>
      <c r="Q48" s="3" t="s">
        <v>109</v>
      </c>
      <c r="R48" s="3" t="s">
        <v>110</v>
      </c>
      <c r="S48" s="3"/>
      <c r="T48" s="3"/>
      <c r="U48" s="3"/>
      <c r="V48" s="3"/>
      <c r="W48" s="3"/>
    </row>
    <row r="49" spans="1:23" ht="96.6" customHeight="1" x14ac:dyDescent="0.25">
      <c r="A49" s="3"/>
      <c r="B49" s="3" t="s">
        <v>13</v>
      </c>
      <c r="C49" s="3">
        <v>1</v>
      </c>
      <c r="D49" s="6">
        <v>42689</v>
      </c>
      <c r="E49" s="19">
        <v>42704</v>
      </c>
      <c r="F49" s="61">
        <f>ROUND((E49-D49)/7,0)</f>
        <v>2</v>
      </c>
      <c r="G49" s="87">
        <v>1</v>
      </c>
      <c r="H49" s="88">
        <f>IF(G49/C49&gt;1,1,G49/C49)</f>
        <v>1</v>
      </c>
      <c r="I49" s="51">
        <f>+F49*H49</f>
        <v>2</v>
      </c>
      <c r="J49" s="51">
        <f>IF(E49&lt;=$J$1,I49,0)</f>
        <v>2</v>
      </c>
      <c r="K49" s="52">
        <f>IF($J$1&gt;=E49,F49,0)</f>
        <v>2</v>
      </c>
      <c r="L49" s="3"/>
      <c r="M49" s="3"/>
      <c r="N49" s="3"/>
      <c r="O49" s="3"/>
      <c r="P49" s="3"/>
      <c r="Q49" s="3"/>
      <c r="R49" s="3"/>
      <c r="S49" s="3"/>
      <c r="T49" s="3"/>
      <c r="U49" s="3"/>
      <c r="V49" s="3"/>
      <c r="W49" s="3" t="s">
        <v>218</v>
      </c>
    </row>
    <row r="50" spans="1:23" ht="97.15" customHeight="1" x14ac:dyDescent="0.25">
      <c r="A50" s="7">
        <v>22</v>
      </c>
      <c r="B50" s="7" t="s">
        <v>126</v>
      </c>
      <c r="C50" s="15"/>
      <c r="D50" s="15"/>
      <c r="E50" s="15"/>
      <c r="F50" s="15"/>
      <c r="G50" s="15"/>
      <c r="H50" s="94"/>
      <c r="I50" s="95"/>
      <c r="J50" s="95"/>
      <c r="K50" s="96"/>
      <c r="L50" s="15"/>
      <c r="M50" s="15"/>
      <c r="N50" s="15"/>
      <c r="O50" s="15"/>
      <c r="P50" s="15"/>
      <c r="Q50" s="15"/>
      <c r="R50" s="15"/>
      <c r="S50" s="15"/>
      <c r="T50" s="15"/>
      <c r="U50" s="15"/>
      <c r="V50" s="15"/>
      <c r="W50" s="15"/>
    </row>
    <row r="51" spans="1:23" ht="252.6" customHeight="1" x14ac:dyDescent="0.25">
      <c r="A51" s="3"/>
      <c r="B51" s="3" t="s">
        <v>12</v>
      </c>
      <c r="C51" s="3">
        <v>1</v>
      </c>
      <c r="D51" s="6">
        <v>42444</v>
      </c>
      <c r="E51" s="6">
        <v>42460</v>
      </c>
      <c r="F51" s="49">
        <f>ROUND((E51-D51)/7,0)</f>
        <v>2</v>
      </c>
      <c r="G51" s="3">
        <v>1</v>
      </c>
      <c r="H51" s="89">
        <f>IF(G51/C51&gt;1,1,G51/C51)</f>
        <v>1</v>
      </c>
      <c r="I51" s="51">
        <f>+F51*H51</f>
        <v>2</v>
      </c>
      <c r="J51" s="51">
        <f>IF(E51&lt;=$J$1,I51,0)</f>
        <v>2</v>
      </c>
      <c r="K51" s="52">
        <f>IF($J$1&gt;=E51,F51,0)</f>
        <v>2</v>
      </c>
      <c r="L51" s="3"/>
      <c r="M51" s="3"/>
      <c r="N51" s="78" t="s">
        <v>222</v>
      </c>
      <c r="O51" s="3"/>
      <c r="P51" s="3"/>
      <c r="Q51" s="3"/>
      <c r="R51" s="3"/>
      <c r="S51" s="3"/>
      <c r="T51" s="3"/>
      <c r="U51" s="3"/>
      <c r="V51" s="3"/>
      <c r="W51" s="3"/>
    </row>
    <row r="52" spans="1:23" ht="352.15" customHeight="1" x14ac:dyDescent="0.25">
      <c r="A52" s="3"/>
      <c r="B52" s="3" t="s">
        <v>13</v>
      </c>
      <c r="C52" s="3">
        <v>1</v>
      </c>
      <c r="D52" s="6">
        <v>42461</v>
      </c>
      <c r="E52" s="6">
        <v>42506</v>
      </c>
      <c r="F52" s="49">
        <f>ROUND((E52-D52)/7,0)</f>
        <v>6</v>
      </c>
      <c r="G52" s="3">
        <v>1</v>
      </c>
      <c r="H52" s="89">
        <f>IF(G52/C52&gt;1,1,G52/C52)</f>
        <v>1</v>
      </c>
      <c r="I52" s="51">
        <f>+F52*H52</f>
        <v>6</v>
      </c>
      <c r="J52" s="51">
        <f>IF(E52&lt;=$J$1,I52,0)</f>
        <v>6</v>
      </c>
      <c r="K52" s="52">
        <f>IF($J$1&gt;=E52,F52,0)</f>
        <v>6</v>
      </c>
      <c r="L52" s="3"/>
      <c r="M52" s="3"/>
      <c r="N52" s="3"/>
      <c r="O52" s="3"/>
      <c r="P52" s="3" t="s">
        <v>224</v>
      </c>
      <c r="Q52" s="3"/>
      <c r="R52" s="3"/>
      <c r="S52" s="3"/>
      <c r="T52" s="5"/>
      <c r="U52" s="3"/>
      <c r="V52" s="3"/>
      <c r="W52" s="3"/>
    </row>
    <row r="53" spans="1:23" ht="343.9" customHeight="1" x14ac:dyDescent="0.25">
      <c r="A53" s="3"/>
      <c r="B53" s="5" t="s">
        <v>14</v>
      </c>
      <c r="C53" s="5">
        <v>1</v>
      </c>
      <c r="D53" s="19">
        <v>42583</v>
      </c>
      <c r="E53" s="19">
        <v>42627</v>
      </c>
      <c r="F53" s="49">
        <f>ROUND((E53-D53)/7,0)</f>
        <v>6</v>
      </c>
      <c r="G53" s="5">
        <v>1</v>
      </c>
      <c r="H53" s="89">
        <f>IF(G53/C53&gt;1,1,G53/C53)</f>
        <v>1</v>
      </c>
      <c r="I53" s="51">
        <f>+F53*H53</f>
        <v>6</v>
      </c>
      <c r="J53" s="51">
        <f>IF(E53&lt;=$J$1,I53,0)</f>
        <v>6</v>
      </c>
      <c r="K53" s="52">
        <f>IF($J$1&gt;=E53,F53,0)</f>
        <v>6</v>
      </c>
      <c r="L53" s="5"/>
      <c r="M53" s="5"/>
      <c r="N53" s="5"/>
      <c r="O53" s="5"/>
      <c r="P53" s="5"/>
      <c r="Q53" s="5"/>
      <c r="R53" s="5"/>
      <c r="S53" s="5"/>
      <c r="T53" s="78" t="s">
        <v>223</v>
      </c>
      <c r="U53" s="3"/>
      <c r="V53" s="3"/>
      <c r="W53" s="3"/>
    </row>
    <row r="54" spans="1:23" ht="73.900000000000006" customHeight="1" x14ac:dyDescent="0.25">
      <c r="A54" s="3"/>
      <c r="B54" s="3" t="s">
        <v>15</v>
      </c>
      <c r="C54" s="3">
        <v>1</v>
      </c>
      <c r="D54" s="6">
        <v>42705</v>
      </c>
      <c r="E54" s="19">
        <v>42751</v>
      </c>
      <c r="F54" s="49">
        <f>ROUND((E54-D54)/7,0)</f>
        <v>7</v>
      </c>
      <c r="G54" s="5">
        <v>1</v>
      </c>
      <c r="H54" s="89">
        <f>IF(G54/C54&gt;1,1,G54/C54)</f>
        <v>1</v>
      </c>
      <c r="I54" s="51">
        <f>+F54*H54</f>
        <v>7</v>
      </c>
      <c r="J54" s="51">
        <f>IF(E54&lt;=$J$1,I54,0)</f>
        <v>0</v>
      </c>
      <c r="K54" s="52">
        <f>IF($J$1&gt;=E54,F54,0)</f>
        <v>0</v>
      </c>
      <c r="L54" s="3"/>
      <c r="M54" s="3"/>
      <c r="N54" s="3"/>
      <c r="O54" s="3"/>
      <c r="P54" s="3"/>
      <c r="Q54" s="3"/>
      <c r="R54" s="3"/>
      <c r="S54" s="3"/>
      <c r="T54" s="3"/>
      <c r="U54" s="3"/>
      <c r="V54" s="3"/>
      <c r="W54" s="3" t="s">
        <v>230</v>
      </c>
    </row>
    <row r="55" spans="1:23" ht="70.900000000000006" customHeight="1" x14ac:dyDescent="0.25">
      <c r="A55" s="7">
        <v>23</v>
      </c>
      <c r="B55" s="7" t="s">
        <v>35</v>
      </c>
      <c r="C55" s="15"/>
      <c r="D55" s="15"/>
      <c r="E55" s="15"/>
      <c r="F55" s="66"/>
      <c r="G55" s="15"/>
      <c r="H55" s="94"/>
      <c r="I55" s="95"/>
      <c r="J55" s="95"/>
      <c r="K55" s="96"/>
      <c r="L55" s="15"/>
      <c r="M55" s="15"/>
      <c r="N55" s="15"/>
      <c r="O55" s="15"/>
      <c r="P55" s="15"/>
      <c r="Q55" s="15"/>
      <c r="R55" s="15"/>
      <c r="S55" s="15"/>
      <c r="T55" s="15"/>
      <c r="U55" s="15"/>
      <c r="V55" s="15"/>
      <c r="W55" s="15"/>
    </row>
    <row r="56" spans="1:23" ht="128.44999999999999" customHeight="1" x14ac:dyDescent="0.25">
      <c r="A56" s="3"/>
      <c r="B56" s="3" t="s">
        <v>12</v>
      </c>
      <c r="C56" s="3">
        <v>1</v>
      </c>
      <c r="D56" s="6">
        <v>42461</v>
      </c>
      <c r="E56" s="6">
        <v>42470</v>
      </c>
      <c r="F56" s="49">
        <f>ROUND((E56-D56)/7,0)</f>
        <v>1</v>
      </c>
      <c r="G56" s="3">
        <v>1</v>
      </c>
      <c r="H56" s="89">
        <f>IF(G56/C56&gt;1,1,G56/C56)</f>
        <v>1</v>
      </c>
      <c r="I56" s="51">
        <f>+F56*H56</f>
        <v>1</v>
      </c>
      <c r="J56" s="51">
        <f>IF(E56&lt;=$J$1,I56,0)</f>
        <v>1</v>
      </c>
      <c r="K56" s="52">
        <f>IF($J$1&gt;=E56,F56,0)</f>
        <v>1</v>
      </c>
      <c r="L56" s="3"/>
      <c r="M56" s="3"/>
      <c r="N56" s="3"/>
      <c r="O56" s="3" t="s">
        <v>92</v>
      </c>
      <c r="P56" s="3"/>
      <c r="Q56" s="3"/>
      <c r="R56" s="3"/>
      <c r="S56" s="3"/>
      <c r="T56" s="3"/>
      <c r="U56" s="3"/>
      <c r="V56" s="3"/>
      <c r="W56" s="3"/>
    </row>
    <row r="57" spans="1:23" ht="87.6" customHeight="1" x14ac:dyDescent="0.25">
      <c r="A57" s="3"/>
      <c r="B57" s="3" t="s">
        <v>13</v>
      </c>
      <c r="C57" s="3">
        <v>1</v>
      </c>
      <c r="D57" s="6">
        <v>42614</v>
      </c>
      <c r="E57" s="6">
        <v>42628</v>
      </c>
      <c r="F57" s="49">
        <f>ROUND((E57-D57)/7,0)</f>
        <v>2</v>
      </c>
      <c r="G57" s="3">
        <v>1</v>
      </c>
      <c r="H57" s="89">
        <f>IF(G57/C57&gt;1,1,G57/C57)</f>
        <v>1</v>
      </c>
      <c r="I57" s="51">
        <f>+F57*H57</f>
        <v>2</v>
      </c>
      <c r="J57" s="51">
        <f>IF(E57&lt;=$J$1,I57,0)</f>
        <v>2</v>
      </c>
      <c r="K57" s="52">
        <f>IF($J$1&gt;=E57,F57,0)</f>
        <v>2</v>
      </c>
      <c r="L57" s="3"/>
      <c r="M57" s="3"/>
      <c r="N57" s="3"/>
      <c r="O57" s="3"/>
      <c r="P57" s="3"/>
      <c r="Q57" s="3"/>
      <c r="R57" s="3"/>
      <c r="S57" s="3" t="s">
        <v>124</v>
      </c>
      <c r="T57" s="3"/>
      <c r="U57" s="3"/>
      <c r="V57" s="3"/>
      <c r="W57" s="3"/>
    </row>
    <row r="58" spans="1:23" s="82" customFormat="1" ht="29.45" customHeight="1" x14ac:dyDescent="0.25">
      <c r="A58" s="145" t="s">
        <v>48</v>
      </c>
      <c r="B58" s="146"/>
      <c r="C58" s="16">
        <f>SUM(C35:C57)</f>
        <v>21</v>
      </c>
      <c r="D58" s="16"/>
      <c r="E58" s="16"/>
      <c r="F58" s="16">
        <f t="shared" ref="F58:K58" si="7">SUM(F35:F57)</f>
        <v>101</v>
      </c>
      <c r="G58" s="16">
        <f t="shared" si="7"/>
        <v>22</v>
      </c>
      <c r="H58" s="16">
        <f t="shared" si="7"/>
        <v>19</v>
      </c>
      <c r="I58" s="81">
        <f t="shared" si="7"/>
        <v>101</v>
      </c>
      <c r="J58" s="81">
        <f t="shared" si="7"/>
        <v>94</v>
      </c>
      <c r="K58" s="81">
        <f t="shared" si="7"/>
        <v>94</v>
      </c>
      <c r="L58" s="16"/>
      <c r="M58" s="16"/>
      <c r="N58" s="16"/>
      <c r="O58" s="16"/>
      <c r="P58" s="16"/>
      <c r="Q58" s="16"/>
      <c r="R58" s="16"/>
      <c r="S58" s="16"/>
      <c r="T58" s="16"/>
      <c r="U58" s="16"/>
      <c r="V58" s="16"/>
      <c r="W58" s="16"/>
    </row>
    <row r="59" spans="1:23" s="82" customFormat="1" ht="29.45" customHeight="1" x14ac:dyDescent="0.25">
      <c r="A59" s="139" t="s">
        <v>83</v>
      </c>
      <c r="B59" s="140"/>
      <c r="C59" s="20">
        <f>C58*20%</f>
        <v>4.2</v>
      </c>
      <c r="D59" s="83">
        <f t="shared" ref="D59:K59" si="8">D58*20%</f>
        <v>0</v>
      </c>
      <c r="E59" s="83">
        <f t="shared" si="8"/>
        <v>0</v>
      </c>
      <c r="F59" s="83">
        <f t="shared" si="8"/>
        <v>20.200000000000003</v>
      </c>
      <c r="G59" s="83">
        <f t="shared" si="8"/>
        <v>4.4000000000000004</v>
      </c>
      <c r="H59" s="83">
        <f t="shared" si="8"/>
        <v>3.8000000000000003</v>
      </c>
      <c r="I59" s="83">
        <f t="shared" si="8"/>
        <v>20.200000000000003</v>
      </c>
      <c r="J59" s="83">
        <f t="shared" si="8"/>
        <v>18.8</v>
      </c>
      <c r="K59" s="83">
        <f t="shared" si="8"/>
        <v>18.8</v>
      </c>
      <c r="L59" s="20"/>
      <c r="M59" s="20"/>
      <c r="N59" s="20"/>
      <c r="O59" s="20"/>
      <c r="P59" s="20"/>
      <c r="Q59" s="20"/>
      <c r="R59" s="20"/>
      <c r="S59" s="20"/>
      <c r="T59" s="16"/>
      <c r="U59" s="16"/>
      <c r="V59" s="16"/>
      <c r="W59" s="16"/>
    </row>
    <row r="60" spans="1:23" ht="37.9" customHeight="1" x14ac:dyDescent="0.25">
      <c r="A60" s="3"/>
      <c r="B60" s="33" t="s">
        <v>36</v>
      </c>
      <c r="C60" s="3"/>
      <c r="D60" s="3"/>
      <c r="E60" s="3"/>
      <c r="F60" s="99"/>
      <c r="G60" s="3"/>
      <c r="H60" s="60"/>
      <c r="I60" s="56"/>
      <c r="J60" s="56"/>
      <c r="K60" s="34"/>
      <c r="L60" s="3"/>
      <c r="M60" s="3"/>
      <c r="N60" s="3"/>
      <c r="O60" s="3"/>
      <c r="P60" s="3"/>
      <c r="Q60" s="3"/>
      <c r="R60" s="3"/>
      <c r="S60" s="3"/>
      <c r="T60" s="3"/>
      <c r="U60" s="3"/>
      <c r="V60" s="132"/>
      <c r="W60" s="132"/>
    </row>
    <row r="61" spans="1:23" ht="97.15" customHeight="1" x14ac:dyDescent="0.25">
      <c r="A61" s="3">
        <v>24</v>
      </c>
      <c r="B61" s="3" t="s">
        <v>37</v>
      </c>
      <c r="C61" s="3">
        <v>1</v>
      </c>
      <c r="D61" s="19">
        <v>42461</v>
      </c>
      <c r="E61" s="19">
        <v>42581</v>
      </c>
      <c r="F61" s="49">
        <f>ROUND((E61-D61)/7,0)</f>
        <v>17</v>
      </c>
      <c r="G61" s="100">
        <v>1</v>
      </c>
      <c r="H61" s="89">
        <f>IF(G61/C61&gt;1,1,G61/C61)</f>
        <v>1</v>
      </c>
      <c r="I61" s="51">
        <f>+F61*H61</f>
        <v>17</v>
      </c>
      <c r="J61" s="51">
        <f>IF(E61&lt;=$J$1,I61,0)</f>
        <v>17</v>
      </c>
      <c r="K61" s="52">
        <f>IF($J$1&gt;=E61,F61,0)</f>
        <v>17</v>
      </c>
      <c r="L61" s="3"/>
      <c r="M61" s="3"/>
      <c r="N61" s="3"/>
      <c r="O61" s="3"/>
      <c r="P61" s="3"/>
      <c r="Q61" s="3" t="s">
        <v>106</v>
      </c>
      <c r="R61" s="3"/>
      <c r="S61" s="151" t="s">
        <v>129</v>
      </c>
      <c r="T61" s="3"/>
      <c r="U61" s="3"/>
      <c r="V61" s="132"/>
      <c r="W61" s="132" t="s">
        <v>227</v>
      </c>
    </row>
    <row r="62" spans="1:23" ht="93" customHeight="1" x14ac:dyDescent="0.25">
      <c r="A62" s="3">
        <v>25</v>
      </c>
      <c r="B62" s="3" t="s">
        <v>38</v>
      </c>
      <c r="C62" s="3"/>
      <c r="D62" s="19"/>
      <c r="E62" s="19"/>
      <c r="F62" s="49"/>
      <c r="G62" s="100"/>
      <c r="H62" s="101"/>
      <c r="I62" s="51"/>
      <c r="J62" s="51"/>
      <c r="K62" s="52"/>
      <c r="L62" s="3"/>
      <c r="M62" s="3"/>
      <c r="N62" s="3"/>
      <c r="O62" s="3"/>
      <c r="P62" s="3"/>
      <c r="Q62" s="3"/>
      <c r="R62" s="3"/>
      <c r="S62" s="152"/>
      <c r="T62" s="3"/>
      <c r="U62" s="3"/>
      <c r="V62" s="132"/>
      <c r="W62" s="133" t="s">
        <v>158</v>
      </c>
    </row>
    <row r="63" spans="1:23" ht="55.9" customHeight="1" x14ac:dyDescent="0.25">
      <c r="A63" s="3">
        <v>26</v>
      </c>
      <c r="B63" s="3" t="s">
        <v>39</v>
      </c>
      <c r="C63" s="3">
        <v>1</v>
      </c>
      <c r="D63" s="19">
        <v>42522</v>
      </c>
      <c r="E63" s="19">
        <v>42704</v>
      </c>
      <c r="F63" s="49">
        <f>ROUND((E63-D63)/7,0)</f>
        <v>26</v>
      </c>
      <c r="G63" s="5">
        <v>1</v>
      </c>
      <c r="H63" s="89">
        <f>IF(G63/C63&gt;1,1,G63/C63)</f>
        <v>1</v>
      </c>
      <c r="I63" s="51">
        <f>+F63*H63</f>
        <v>26</v>
      </c>
      <c r="J63" s="51">
        <f>IF(E63&lt;=$J$1,I63,0)</f>
        <v>26</v>
      </c>
      <c r="K63" s="52">
        <f>IF($J$1&gt;=E63,F63,0)</f>
        <v>26</v>
      </c>
      <c r="L63" s="3"/>
      <c r="M63" s="3"/>
      <c r="N63" s="3"/>
      <c r="O63" s="3"/>
      <c r="P63" s="3"/>
      <c r="Q63" s="3"/>
      <c r="R63" s="3"/>
      <c r="S63" s="152"/>
      <c r="T63" s="3"/>
      <c r="U63" s="3"/>
      <c r="V63" s="132" t="s">
        <v>153</v>
      </c>
      <c r="W63" s="132"/>
    </row>
    <row r="64" spans="1:23" ht="98.45" customHeight="1" x14ac:dyDescent="0.25">
      <c r="A64" s="3">
        <v>27</v>
      </c>
      <c r="B64" s="3" t="s">
        <v>40</v>
      </c>
      <c r="C64" s="3">
        <v>1</v>
      </c>
      <c r="D64" s="19">
        <v>42522</v>
      </c>
      <c r="E64" s="19">
        <v>42704</v>
      </c>
      <c r="F64" s="49">
        <f>ROUND((E64-D64)/7,0)</f>
        <v>26</v>
      </c>
      <c r="G64" s="5">
        <v>1</v>
      </c>
      <c r="H64" s="89">
        <f>IF(G64/C64&gt;1,1,G64/C64)</f>
        <v>1</v>
      </c>
      <c r="I64" s="51">
        <f>+F64*H64</f>
        <v>26</v>
      </c>
      <c r="J64" s="51">
        <f>IF(E64&lt;=$J$1,I64,0)</f>
        <v>26</v>
      </c>
      <c r="K64" s="52">
        <f>IF($J$1&gt;=E64,F64,0)</f>
        <v>26</v>
      </c>
      <c r="L64" s="3"/>
      <c r="M64" s="3"/>
      <c r="N64" s="3"/>
      <c r="O64" s="3"/>
      <c r="P64" s="3"/>
      <c r="Q64" s="3" t="s">
        <v>107</v>
      </c>
      <c r="R64" s="3"/>
      <c r="S64" s="152"/>
      <c r="T64" s="3"/>
      <c r="U64" s="3"/>
      <c r="V64" s="131" t="s">
        <v>152</v>
      </c>
      <c r="W64" s="3"/>
    </row>
    <row r="65" spans="1:23" ht="160.15" customHeight="1" x14ac:dyDescent="0.25">
      <c r="A65" s="3">
        <v>28</v>
      </c>
      <c r="B65" s="3" t="s">
        <v>41</v>
      </c>
      <c r="C65" s="3">
        <v>1</v>
      </c>
      <c r="D65" s="19">
        <v>42522</v>
      </c>
      <c r="E65" s="19">
        <v>42704</v>
      </c>
      <c r="F65" s="49">
        <f>ROUND((E65-D65)/7,0)</f>
        <v>26</v>
      </c>
      <c r="G65" s="5">
        <v>1</v>
      </c>
      <c r="H65" s="89">
        <f>IF(G65/C65&gt;1,1,G65/C65)</f>
        <v>1</v>
      </c>
      <c r="I65" s="51">
        <f>+F65*H65</f>
        <v>26</v>
      </c>
      <c r="J65" s="51">
        <f>IF(E65&lt;=$J$1,I65,0)</f>
        <v>26</v>
      </c>
      <c r="K65" s="52">
        <f>IF($J$1&gt;=E65,F65,0)</f>
        <v>26</v>
      </c>
      <c r="L65" s="3"/>
      <c r="M65" s="3"/>
      <c r="N65" s="3"/>
      <c r="O65" s="3"/>
      <c r="P65" s="3"/>
      <c r="Q65" s="3"/>
      <c r="R65" s="3"/>
      <c r="S65" s="153"/>
      <c r="T65" s="3"/>
      <c r="U65" s="3"/>
      <c r="V65" s="3"/>
      <c r="W65" s="129" t="s">
        <v>231</v>
      </c>
    </row>
    <row r="66" spans="1:23" s="82" customFormat="1" ht="35.450000000000003" customHeight="1" x14ac:dyDescent="0.25">
      <c r="A66" s="145" t="s">
        <v>48</v>
      </c>
      <c r="B66" s="146"/>
      <c r="C66" s="16">
        <f>SUM(C61:C65)</f>
        <v>4</v>
      </c>
      <c r="D66" s="16"/>
      <c r="E66" s="16"/>
      <c r="F66" s="102">
        <f t="shared" ref="F66:K66" si="9">SUM(F61:F65)</f>
        <v>95</v>
      </c>
      <c r="G66" s="102">
        <f t="shared" si="9"/>
        <v>4</v>
      </c>
      <c r="H66" s="102">
        <f t="shared" si="9"/>
        <v>4</v>
      </c>
      <c r="I66" s="102">
        <f t="shared" si="9"/>
        <v>95</v>
      </c>
      <c r="J66" s="102">
        <f t="shared" si="9"/>
        <v>95</v>
      </c>
      <c r="K66" s="102">
        <f t="shared" si="9"/>
        <v>95</v>
      </c>
      <c r="L66" s="16"/>
      <c r="M66" s="16"/>
      <c r="N66" s="16"/>
      <c r="O66" s="16"/>
      <c r="P66" s="16"/>
      <c r="Q66" s="16"/>
      <c r="R66" s="16"/>
      <c r="S66" s="16"/>
      <c r="T66" s="16"/>
      <c r="U66" s="16"/>
      <c r="V66" s="16"/>
      <c r="W66" s="16"/>
    </row>
    <row r="67" spans="1:23" s="82" customFormat="1" ht="59.45" customHeight="1" x14ac:dyDescent="0.25">
      <c r="A67" s="150" t="s">
        <v>84</v>
      </c>
      <c r="B67" s="150"/>
      <c r="C67" s="20">
        <f>C66*40%</f>
        <v>1.6</v>
      </c>
      <c r="D67" s="20"/>
      <c r="E67" s="20"/>
      <c r="F67" s="83">
        <f t="shared" ref="F67:K67" si="10">F66*40%</f>
        <v>38</v>
      </c>
      <c r="G67" s="20">
        <f t="shared" si="10"/>
        <v>1.6</v>
      </c>
      <c r="H67" s="20">
        <f t="shared" si="10"/>
        <v>1.6</v>
      </c>
      <c r="I67" s="20">
        <f t="shared" si="10"/>
        <v>38</v>
      </c>
      <c r="J67" s="20">
        <f t="shared" si="10"/>
        <v>38</v>
      </c>
      <c r="K67" s="102">
        <f t="shared" si="10"/>
        <v>38</v>
      </c>
      <c r="L67" s="16"/>
      <c r="M67" s="16"/>
      <c r="N67" s="16"/>
      <c r="O67" s="16"/>
      <c r="P67" s="16"/>
      <c r="Q67" s="16"/>
      <c r="R67" s="16"/>
      <c r="S67" s="16"/>
      <c r="T67" s="16"/>
      <c r="U67" s="16"/>
      <c r="V67" s="16"/>
      <c r="W67" s="16"/>
    </row>
    <row r="68" spans="1:23" ht="27" customHeight="1" x14ac:dyDescent="0.25">
      <c r="A68" s="3"/>
      <c r="B68" s="33" t="s">
        <v>42</v>
      </c>
      <c r="C68" s="3"/>
      <c r="D68" s="3"/>
      <c r="E68" s="3"/>
      <c r="F68" s="99"/>
      <c r="G68" s="3"/>
      <c r="H68" s="60"/>
      <c r="I68" s="56"/>
      <c r="J68" s="56"/>
      <c r="K68" s="34"/>
      <c r="L68" s="3"/>
      <c r="M68" s="3"/>
      <c r="N68" s="3"/>
      <c r="O68" s="3"/>
      <c r="P68" s="3"/>
      <c r="Q68" s="3"/>
      <c r="R68" s="3"/>
      <c r="S68" s="3"/>
      <c r="T68" s="3"/>
      <c r="U68" s="3"/>
      <c r="V68" s="3"/>
      <c r="W68" s="3"/>
    </row>
    <row r="69" spans="1:23" ht="31.9" customHeight="1" x14ac:dyDescent="0.25">
      <c r="A69" s="15"/>
      <c r="B69" s="7" t="s">
        <v>44</v>
      </c>
      <c r="C69" s="15"/>
      <c r="D69" s="15"/>
      <c r="E69" s="15"/>
      <c r="F69" s="66"/>
      <c r="G69" s="15"/>
      <c r="H69" s="94"/>
      <c r="I69" s="103"/>
      <c r="J69" s="103"/>
      <c r="K69" s="104"/>
      <c r="L69" s="15"/>
      <c r="M69" s="15"/>
      <c r="N69" s="15"/>
      <c r="O69" s="15"/>
      <c r="P69" s="15"/>
      <c r="Q69" s="15"/>
      <c r="R69" s="15"/>
      <c r="S69" s="15"/>
      <c r="T69" s="15"/>
      <c r="U69" s="15"/>
      <c r="V69" s="15"/>
      <c r="W69" s="15"/>
    </row>
    <row r="70" spans="1:23" ht="207" customHeight="1" x14ac:dyDescent="0.25">
      <c r="A70" s="3">
        <v>29</v>
      </c>
      <c r="B70" s="3" t="s">
        <v>43</v>
      </c>
      <c r="C70" s="3">
        <v>1</v>
      </c>
      <c r="D70" s="6">
        <v>42522</v>
      </c>
      <c r="E70" s="6">
        <v>42613</v>
      </c>
      <c r="F70" s="49">
        <f>ROUND((E70-D70)/7,0)</f>
        <v>13</v>
      </c>
      <c r="G70" s="3">
        <v>1</v>
      </c>
      <c r="H70" s="105">
        <f>IF(G70/C70&gt;1,1,G70/C70)</f>
        <v>1</v>
      </c>
      <c r="I70" s="51">
        <f>+F70*H70</f>
        <v>13</v>
      </c>
      <c r="J70" s="51">
        <f>IF(E70&lt;=$J$1,I70,0)</f>
        <v>13</v>
      </c>
      <c r="K70" s="52">
        <f>IF($J$1&gt;=E70,F70,0)</f>
        <v>13</v>
      </c>
      <c r="L70" s="3"/>
      <c r="M70" s="3"/>
      <c r="N70" s="3"/>
      <c r="O70" s="3"/>
      <c r="P70" s="3"/>
      <c r="Q70" s="34" t="s">
        <v>105</v>
      </c>
      <c r="R70" s="34" t="s">
        <v>118</v>
      </c>
      <c r="S70" s="3" t="s">
        <v>123</v>
      </c>
      <c r="T70" s="3"/>
      <c r="U70" s="3"/>
      <c r="V70" s="3"/>
      <c r="W70" s="3"/>
    </row>
    <row r="71" spans="1:23" s="108" customFormat="1" ht="32.450000000000003" customHeight="1" x14ac:dyDescent="0.25">
      <c r="A71" s="141" t="s">
        <v>49</v>
      </c>
      <c r="B71" s="142"/>
      <c r="C71" s="17">
        <f>C70</f>
        <v>1</v>
      </c>
      <c r="D71" s="17"/>
      <c r="E71" s="17"/>
      <c r="F71" s="102">
        <f t="shared" ref="F71:K71" si="11">SUM(F70:F70)</f>
        <v>13</v>
      </c>
      <c r="G71" s="17">
        <f t="shared" si="11"/>
        <v>1</v>
      </c>
      <c r="H71" s="106">
        <f t="shared" si="11"/>
        <v>1</v>
      </c>
      <c r="I71" s="107">
        <f t="shared" si="11"/>
        <v>13</v>
      </c>
      <c r="J71" s="107">
        <f t="shared" si="11"/>
        <v>13</v>
      </c>
      <c r="K71" s="107">
        <f t="shared" si="11"/>
        <v>13</v>
      </c>
      <c r="L71" s="17"/>
      <c r="M71" s="17"/>
      <c r="N71" s="17"/>
      <c r="O71" s="17"/>
      <c r="P71" s="17"/>
      <c r="Q71" s="17"/>
      <c r="R71" s="17"/>
      <c r="S71" s="17"/>
      <c r="T71" s="17"/>
      <c r="U71" s="17"/>
      <c r="V71" s="17"/>
      <c r="W71" s="17"/>
    </row>
    <row r="72" spans="1:23" s="108" customFormat="1" ht="39" customHeight="1" x14ac:dyDescent="0.25">
      <c r="A72" s="139" t="s">
        <v>85</v>
      </c>
      <c r="B72" s="140"/>
      <c r="C72" s="83">
        <f>C71*15%</f>
        <v>0.15</v>
      </c>
      <c r="D72" s="83"/>
      <c r="E72" s="83"/>
      <c r="F72" s="83">
        <f t="shared" ref="F72:K72" si="12">F71*15%</f>
        <v>1.95</v>
      </c>
      <c r="G72" s="83">
        <f t="shared" si="12"/>
        <v>0.15</v>
      </c>
      <c r="H72" s="83">
        <f t="shared" si="12"/>
        <v>0.15</v>
      </c>
      <c r="I72" s="83">
        <f t="shared" si="12"/>
        <v>1.95</v>
      </c>
      <c r="J72" s="83">
        <f t="shared" si="12"/>
        <v>1.95</v>
      </c>
      <c r="K72" s="83">
        <f t="shared" si="12"/>
        <v>1.95</v>
      </c>
      <c r="L72" s="17"/>
      <c r="M72" s="17"/>
      <c r="N72" s="17"/>
      <c r="O72" s="17"/>
      <c r="P72" s="17"/>
      <c r="Q72" s="17"/>
      <c r="R72" s="17"/>
      <c r="S72" s="17"/>
      <c r="T72" s="35"/>
      <c r="U72" s="35"/>
      <c r="V72" s="35"/>
      <c r="W72" s="35"/>
    </row>
    <row r="73" spans="1:23" ht="37.15" customHeight="1" x14ac:dyDescent="0.25">
      <c r="A73" s="15">
        <v>30</v>
      </c>
      <c r="B73" s="7" t="s">
        <v>45</v>
      </c>
      <c r="C73" s="15"/>
      <c r="D73" s="15"/>
      <c r="E73" s="44"/>
      <c r="F73" s="66"/>
      <c r="G73" s="15"/>
      <c r="H73" s="94"/>
      <c r="I73" s="103"/>
      <c r="J73" s="103"/>
      <c r="K73" s="109"/>
      <c r="L73" s="15"/>
      <c r="M73" s="15"/>
      <c r="N73" s="15"/>
      <c r="O73" s="15"/>
      <c r="P73" s="15"/>
      <c r="Q73" s="15"/>
      <c r="R73" s="15"/>
      <c r="S73" s="15"/>
      <c r="T73" s="15"/>
      <c r="U73" s="15"/>
      <c r="V73" s="15"/>
      <c r="W73" s="15"/>
    </row>
    <row r="74" spans="1:23" ht="367.9" customHeight="1" x14ac:dyDescent="0.25">
      <c r="A74" s="3"/>
      <c r="B74" s="33" t="s">
        <v>101</v>
      </c>
      <c r="C74" s="3">
        <v>1</v>
      </c>
      <c r="D74" s="6">
        <v>42491</v>
      </c>
      <c r="E74" s="6">
        <v>42735</v>
      </c>
      <c r="F74" s="49">
        <f>ROUND((E74-D74)/7,0)</f>
        <v>35</v>
      </c>
      <c r="G74" s="5">
        <v>1</v>
      </c>
      <c r="H74" s="105">
        <f>IF(G74/C74&gt;1,1,G74/C74)</f>
        <v>1</v>
      </c>
      <c r="I74" s="51">
        <f>+F74*H74</f>
        <v>35</v>
      </c>
      <c r="J74" s="51">
        <f>IF(E74&lt;=$J$1,I74,0)</f>
        <v>35</v>
      </c>
      <c r="K74" s="52">
        <f>IF($J$1&gt;=E74,F74,0)</f>
        <v>35</v>
      </c>
      <c r="L74" s="34" t="s">
        <v>89</v>
      </c>
      <c r="M74" s="3"/>
      <c r="N74" s="3"/>
      <c r="O74" s="34" t="s">
        <v>94</v>
      </c>
      <c r="P74" s="34" t="s">
        <v>97</v>
      </c>
      <c r="Q74" s="3"/>
      <c r="R74" s="3"/>
      <c r="S74" s="3" t="s">
        <v>128</v>
      </c>
      <c r="T74" s="3" t="s">
        <v>134</v>
      </c>
      <c r="U74" s="3" t="s">
        <v>135</v>
      </c>
      <c r="V74" s="3" t="s">
        <v>155</v>
      </c>
      <c r="W74" s="3"/>
    </row>
    <row r="75" spans="1:23" s="108" customFormat="1" ht="25.15" customHeight="1" x14ac:dyDescent="0.25">
      <c r="A75" s="141" t="s">
        <v>49</v>
      </c>
      <c r="B75" s="142"/>
      <c r="C75" s="17">
        <v>1</v>
      </c>
      <c r="D75" s="17"/>
      <c r="E75" s="17"/>
      <c r="F75" s="102">
        <f t="shared" ref="F75:K75" si="13">SUM(F74:F74)</f>
        <v>35</v>
      </c>
      <c r="G75" s="17">
        <f t="shared" si="13"/>
        <v>1</v>
      </c>
      <c r="H75" s="106">
        <f t="shared" si="13"/>
        <v>1</v>
      </c>
      <c r="I75" s="107">
        <f t="shared" si="13"/>
        <v>35</v>
      </c>
      <c r="J75" s="107">
        <f t="shared" si="13"/>
        <v>35</v>
      </c>
      <c r="K75" s="107">
        <f t="shared" si="13"/>
        <v>35</v>
      </c>
      <c r="L75" s="17"/>
      <c r="M75" s="17"/>
      <c r="N75" s="17"/>
      <c r="O75" s="17"/>
      <c r="P75" s="17"/>
      <c r="Q75" s="17"/>
      <c r="R75" s="17"/>
      <c r="S75" s="17"/>
      <c r="T75" s="17"/>
      <c r="U75" s="17"/>
      <c r="V75" s="17"/>
      <c r="W75" s="17"/>
    </row>
    <row r="76" spans="1:23" s="108" customFormat="1" ht="52.9" customHeight="1" x14ac:dyDescent="0.25">
      <c r="A76" s="139" t="s">
        <v>86</v>
      </c>
      <c r="B76" s="140"/>
      <c r="C76" s="83">
        <f>C75*5%</f>
        <v>0.05</v>
      </c>
      <c r="D76" s="20"/>
      <c r="E76" s="20"/>
      <c r="F76" s="83">
        <f t="shared" ref="F76:K76" si="14">F75*5%</f>
        <v>1.75</v>
      </c>
      <c r="G76" s="83">
        <f t="shared" si="14"/>
        <v>0.05</v>
      </c>
      <c r="H76" s="83">
        <f t="shared" si="14"/>
        <v>0.05</v>
      </c>
      <c r="I76" s="83">
        <f t="shared" si="14"/>
        <v>1.75</v>
      </c>
      <c r="J76" s="83">
        <f t="shared" si="14"/>
        <v>1.75</v>
      </c>
      <c r="K76" s="83">
        <f t="shared" si="14"/>
        <v>1.75</v>
      </c>
      <c r="L76" s="17"/>
      <c r="M76" s="17"/>
      <c r="N76" s="17"/>
      <c r="O76" s="17"/>
      <c r="P76" s="17"/>
      <c r="Q76" s="17"/>
      <c r="R76" s="17"/>
      <c r="S76" s="17"/>
      <c r="T76" s="17"/>
      <c r="U76" s="17"/>
      <c r="V76" s="17"/>
      <c r="W76" s="17"/>
    </row>
    <row r="77" spans="1:23" s="113" customFormat="1" ht="33" customHeight="1" x14ac:dyDescent="0.25">
      <c r="A77" s="110"/>
      <c r="B77" s="111" t="s">
        <v>50</v>
      </c>
      <c r="C77" s="112">
        <f>C33+C59+C67+C72+C76</f>
        <v>9.8000000000000007</v>
      </c>
      <c r="D77" s="112"/>
      <c r="E77" s="112"/>
      <c r="F77" s="112">
        <f t="shared" ref="F77:K77" si="15">F33+F59+F67+F72+F76</f>
        <v>76.100000000000009</v>
      </c>
      <c r="G77" s="112">
        <f t="shared" si="15"/>
        <v>10.000000000000002</v>
      </c>
      <c r="H77" s="112">
        <f t="shared" si="15"/>
        <v>9.2000000000000011</v>
      </c>
      <c r="I77" s="112">
        <f t="shared" si="15"/>
        <v>76.100000000000009</v>
      </c>
      <c r="J77" s="112">
        <f t="shared" si="15"/>
        <v>74.7</v>
      </c>
      <c r="K77" s="112">
        <f t="shared" si="15"/>
        <v>74.7</v>
      </c>
      <c r="L77" s="18"/>
      <c r="M77" s="18"/>
      <c r="N77" s="18"/>
      <c r="O77" s="18"/>
      <c r="P77" s="18"/>
      <c r="Q77" s="18"/>
      <c r="R77" s="18"/>
      <c r="S77" s="18"/>
      <c r="T77" s="18"/>
      <c r="U77" s="18"/>
      <c r="V77" s="18"/>
      <c r="W77" s="18"/>
    </row>
    <row r="79" spans="1:23" ht="27" customHeight="1" x14ac:dyDescent="0.25"/>
    <row r="80" spans="1:23" ht="75" customHeight="1" x14ac:dyDescent="0.25">
      <c r="C80" s="134" t="s">
        <v>147</v>
      </c>
      <c r="D80" s="135"/>
      <c r="E80" s="136"/>
      <c r="F80" s="134" t="s">
        <v>136</v>
      </c>
      <c r="G80" s="135"/>
      <c r="H80" s="136"/>
      <c r="I80" s="114">
        <f>K77</f>
        <v>74.7</v>
      </c>
    </row>
    <row r="81" spans="3:9" ht="68.25" customHeight="1" x14ac:dyDescent="0.25">
      <c r="C81" s="134" t="s">
        <v>142</v>
      </c>
      <c r="D81" s="135"/>
      <c r="E81" s="136"/>
      <c r="F81" s="134" t="s">
        <v>137</v>
      </c>
      <c r="G81" s="135"/>
      <c r="H81" s="136"/>
      <c r="I81" s="114">
        <f>F77</f>
        <v>76.100000000000009</v>
      </c>
    </row>
    <row r="82" spans="3:9" ht="48.6" customHeight="1" x14ac:dyDescent="0.25">
      <c r="C82" s="134" t="s">
        <v>138</v>
      </c>
      <c r="D82" s="135"/>
      <c r="E82" s="136"/>
      <c r="F82" s="134" t="s">
        <v>139</v>
      </c>
      <c r="G82" s="135"/>
      <c r="H82" s="136"/>
      <c r="I82" s="115">
        <f>IF(J77=0,0,J77/I80)</f>
        <v>1</v>
      </c>
    </row>
    <row r="83" spans="3:9" ht="64.5" customHeight="1" x14ac:dyDescent="0.25">
      <c r="C83" s="134" t="s">
        <v>140</v>
      </c>
      <c r="D83" s="135"/>
      <c r="E83" s="136"/>
      <c r="F83" s="134" t="s">
        <v>141</v>
      </c>
      <c r="G83" s="135"/>
      <c r="H83" s="136"/>
      <c r="I83" s="115">
        <f>IF(I77=0,0,I77/I81)</f>
        <v>1</v>
      </c>
    </row>
    <row r="88" spans="3:9" x14ac:dyDescent="0.25">
      <c r="C88" s="116"/>
    </row>
    <row r="89" spans="3:9" x14ac:dyDescent="0.25">
      <c r="D89" s="70"/>
      <c r="E89" s="42"/>
    </row>
    <row r="90" spans="3:9" x14ac:dyDescent="0.25">
      <c r="D90" s="70"/>
      <c r="E90" s="42"/>
    </row>
    <row r="100" spans="3:3" x14ac:dyDescent="0.25">
      <c r="C100" s="43"/>
    </row>
  </sheetData>
  <mergeCells count="23">
    <mergeCell ref="X2:AC2"/>
    <mergeCell ref="A76:B76"/>
    <mergeCell ref="A71:B71"/>
    <mergeCell ref="A75:B75"/>
    <mergeCell ref="A22:A23"/>
    <mergeCell ref="A43:A45"/>
    <mergeCell ref="A32:B32"/>
    <mergeCell ref="A34:B34"/>
    <mergeCell ref="A33:B33"/>
    <mergeCell ref="A59:B59"/>
    <mergeCell ref="A67:B67"/>
    <mergeCell ref="A72:B72"/>
    <mergeCell ref="A58:B58"/>
    <mergeCell ref="A66:B66"/>
    <mergeCell ref="S61:S65"/>
    <mergeCell ref="C83:E83"/>
    <mergeCell ref="F83:H83"/>
    <mergeCell ref="C80:E80"/>
    <mergeCell ref="F80:H80"/>
    <mergeCell ref="C81:E81"/>
    <mergeCell ref="F81:H81"/>
    <mergeCell ref="C82:E82"/>
    <mergeCell ref="F82:H82"/>
  </mergeCells>
  <conditionalFormatting sqref="H70 H61:H65 H56:H57 H48:H49 H43:H46 H35:H41 H28:H31 H25:H26 H22:H23 H17:H20 H3:H5 H7:H9 H74 H51:H54">
    <cfRule type="cellIs" dxfId="0" priority="1" operator="lessThan">
      <formula>1</formula>
    </cfRule>
  </conditionalFormatting>
  <hyperlinks>
    <hyperlink ref="N31" r:id="rId1" display="http://200.31.21.201/ desarrollo/Informes_software/registra_ Informes_ "/>
  </hyperlinks>
  <printOptions horizontalCentered="1" gridLines="1"/>
  <pageMargins left="0" right="0" top="0" bottom="0" header="0.31496062992125984" footer="0.31496062992125984"/>
  <pageSetup paperSize="14" scale="55" orientation="landscape" horizontalDpi="300" verticalDpi="300" r:id="rId2"/>
  <headerFooter>
    <oddHeader>&amp;C&amp;Pde&amp;N</oddHeader>
    <oddFooter>&amp;C&amp;Pde&amp;N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37"/>
  <sheetViews>
    <sheetView tabSelected="1" zoomScale="59" zoomScaleNormal="59" workbookViewId="0">
      <selection activeCell="C3" sqref="A3:XFD3"/>
    </sheetView>
  </sheetViews>
  <sheetFormatPr baseColWidth="10" defaultRowHeight="15" x14ac:dyDescent="0.25"/>
  <cols>
    <col min="1" max="1" width="15" customWidth="1"/>
    <col min="2" max="2" width="13.140625" customWidth="1"/>
    <col min="3" max="3" width="21.140625" customWidth="1"/>
    <col min="4" max="4" width="14" style="2" customWidth="1"/>
    <col min="5" max="5" width="12.28515625" style="2" customWidth="1"/>
    <col min="6" max="6" width="39.7109375" style="1" customWidth="1"/>
    <col min="7" max="7" width="16.7109375" customWidth="1"/>
  </cols>
  <sheetData>
    <row r="1" spans="1:7" ht="50.45" customHeight="1" x14ac:dyDescent="0.25">
      <c r="A1" s="167" t="s">
        <v>58</v>
      </c>
      <c r="B1" s="169" t="s">
        <v>57</v>
      </c>
      <c r="C1" s="167" t="s">
        <v>160</v>
      </c>
      <c r="D1" s="167" t="s">
        <v>169</v>
      </c>
      <c r="E1" s="167" t="s">
        <v>170</v>
      </c>
      <c r="F1" s="167" t="s">
        <v>196</v>
      </c>
      <c r="G1" s="27" t="s">
        <v>188</v>
      </c>
    </row>
    <row r="2" spans="1:7" ht="33" customHeight="1" x14ac:dyDescent="0.25">
      <c r="A2" s="168"/>
      <c r="B2" s="170"/>
      <c r="C2" s="168"/>
      <c r="D2" s="168"/>
      <c r="E2" s="168"/>
      <c r="F2" s="168"/>
      <c r="G2" s="9" t="s">
        <v>87</v>
      </c>
    </row>
    <row r="3" spans="1:7" ht="56.45" customHeight="1" x14ac:dyDescent="0.25">
      <c r="A3" s="155" t="s">
        <v>191</v>
      </c>
      <c r="B3" s="161">
        <v>0.2</v>
      </c>
      <c r="C3" s="122" t="s">
        <v>159</v>
      </c>
      <c r="D3" s="123">
        <v>1</v>
      </c>
      <c r="E3" s="123">
        <v>1</v>
      </c>
      <c r="F3" s="122" t="s">
        <v>197</v>
      </c>
      <c r="G3" s="161">
        <f>'Matriz seguimiento'!AB4</f>
        <v>1</v>
      </c>
    </row>
    <row r="4" spans="1:7" ht="94.9" customHeight="1" x14ac:dyDescent="0.25">
      <c r="A4" s="156"/>
      <c r="B4" s="162"/>
      <c r="C4" s="122" t="s">
        <v>161</v>
      </c>
      <c r="D4" s="123">
        <v>2</v>
      </c>
      <c r="E4" s="123">
        <v>3</v>
      </c>
      <c r="F4" s="122" t="s">
        <v>198</v>
      </c>
      <c r="G4" s="162"/>
    </row>
    <row r="5" spans="1:7" ht="73.150000000000006" customHeight="1" x14ac:dyDescent="0.25">
      <c r="A5" s="156"/>
      <c r="B5" s="162"/>
      <c r="C5" s="122" t="s">
        <v>162</v>
      </c>
      <c r="D5" s="123">
        <v>1</v>
      </c>
      <c r="E5" s="123">
        <v>1</v>
      </c>
      <c r="F5" s="122" t="s">
        <v>199</v>
      </c>
      <c r="G5" s="162"/>
    </row>
    <row r="6" spans="1:7" ht="88.9" customHeight="1" x14ac:dyDescent="0.25">
      <c r="A6" s="156"/>
      <c r="B6" s="162"/>
      <c r="C6" s="122" t="s">
        <v>201</v>
      </c>
      <c r="D6" s="123">
        <v>1</v>
      </c>
      <c r="E6" s="123">
        <v>1</v>
      </c>
      <c r="F6" s="122" t="s">
        <v>200</v>
      </c>
      <c r="G6" s="162"/>
    </row>
    <row r="7" spans="1:7" ht="124.15" customHeight="1" x14ac:dyDescent="0.25">
      <c r="A7" s="156"/>
      <c r="B7" s="162"/>
      <c r="C7" s="122" t="s">
        <v>202</v>
      </c>
      <c r="D7" s="123">
        <v>3</v>
      </c>
      <c r="E7" s="123">
        <v>3</v>
      </c>
      <c r="F7" s="122" t="s">
        <v>203</v>
      </c>
      <c r="G7" s="162"/>
    </row>
    <row r="8" spans="1:7" ht="62.45" customHeight="1" x14ac:dyDescent="0.25">
      <c r="A8" s="156"/>
      <c r="B8" s="162"/>
      <c r="C8" s="122" t="s">
        <v>163</v>
      </c>
      <c r="D8" s="178" t="s">
        <v>189</v>
      </c>
      <c r="E8" s="179"/>
      <c r="F8" s="180"/>
      <c r="G8" s="162"/>
    </row>
    <row r="9" spans="1:7" ht="131.44999999999999" customHeight="1" x14ac:dyDescent="0.25">
      <c r="A9" s="155" t="s">
        <v>191</v>
      </c>
      <c r="B9" s="161"/>
      <c r="C9" s="122" t="s">
        <v>100</v>
      </c>
      <c r="D9" s="123">
        <v>4</v>
      </c>
      <c r="E9" s="123">
        <v>4</v>
      </c>
      <c r="F9" s="122" t="s">
        <v>205</v>
      </c>
      <c r="G9" s="162"/>
    </row>
    <row r="10" spans="1:7" ht="145.9" customHeight="1" x14ac:dyDescent="0.25">
      <c r="A10" s="156"/>
      <c r="B10" s="162"/>
      <c r="C10" s="122" t="s">
        <v>164</v>
      </c>
      <c r="D10" s="123">
        <v>2</v>
      </c>
      <c r="E10" s="123">
        <v>2</v>
      </c>
      <c r="F10" s="122" t="s">
        <v>207</v>
      </c>
      <c r="G10" s="162"/>
    </row>
    <row r="11" spans="1:7" ht="56.45" customHeight="1" x14ac:dyDescent="0.25">
      <c r="A11" s="156"/>
      <c r="B11" s="162"/>
      <c r="C11" s="122" t="s">
        <v>165</v>
      </c>
      <c r="D11" s="123">
        <v>2</v>
      </c>
      <c r="E11" s="123">
        <v>2</v>
      </c>
      <c r="F11" s="122" t="s">
        <v>208</v>
      </c>
      <c r="G11" s="162"/>
    </row>
    <row r="12" spans="1:7" ht="99" customHeight="1" x14ac:dyDescent="0.25">
      <c r="A12" s="156"/>
      <c r="B12" s="162"/>
      <c r="C12" s="122" t="s">
        <v>166</v>
      </c>
      <c r="D12" s="123">
        <v>2</v>
      </c>
      <c r="E12" s="123">
        <v>2</v>
      </c>
      <c r="F12" s="122" t="s">
        <v>209</v>
      </c>
      <c r="G12" s="162"/>
    </row>
    <row r="13" spans="1:7" ht="63.6" customHeight="1" x14ac:dyDescent="0.25">
      <c r="A13" s="156"/>
      <c r="B13" s="162"/>
      <c r="C13" s="122" t="s">
        <v>167</v>
      </c>
      <c r="D13" s="123">
        <v>1</v>
      </c>
      <c r="E13" s="123">
        <v>1</v>
      </c>
      <c r="F13" s="122" t="s">
        <v>80</v>
      </c>
      <c r="G13" s="162"/>
    </row>
    <row r="14" spans="1:7" ht="61.15" customHeight="1" x14ac:dyDescent="0.25">
      <c r="A14" s="156"/>
      <c r="B14" s="162"/>
      <c r="C14" s="122" t="s">
        <v>6</v>
      </c>
      <c r="D14" s="123">
        <v>1</v>
      </c>
      <c r="E14" s="123">
        <v>1</v>
      </c>
      <c r="F14" s="122" t="s">
        <v>210</v>
      </c>
      <c r="G14" s="163"/>
    </row>
    <row r="15" spans="1:7" ht="22.15" customHeight="1" x14ac:dyDescent="0.3">
      <c r="A15" s="171" t="s">
        <v>168</v>
      </c>
      <c r="B15" s="172"/>
      <c r="C15" s="173"/>
      <c r="D15" s="124">
        <f>SUM(D3:D14)</f>
        <v>20</v>
      </c>
      <c r="E15" s="124">
        <f>SUM(E3:E14)</f>
        <v>21</v>
      </c>
      <c r="F15" s="38"/>
      <c r="G15" s="36"/>
    </row>
    <row r="16" spans="1:7" ht="48" customHeight="1" x14ac:dyDescent="0.25">
      <c r="A16" s="177" t="s">
        <v>190</v>
      </c>
      <c r="B16" s="154">
        <v>0.2</v>
      </c>
      <c r="C16" s="128" t="s">
        <v>171</v>
      </c>
      <c r="D16" s="123">
        <v>1</v>
      </c>
      <c r="E16" s="123">
        <v>1</v>
      </c>
      <c r="F16" s="130" t="s">
        <v>233</v>
      </c>
      <c r="G16" s="154">
        <f>'Matriz seguimiento'!AB5</f>
        <v>1</v>
      </c>
    </row>
    <row r="17" spans="1:7" ht="104.45" customHeight="1" x14ac:dyDescent="0.25">
      <c r="A17" s="177"/>
      <c r="B17" s="154"/>
      <c r="C17" s="128" t="s">
        <v>172</v>
      </c>
      <c r="D17" s="123">
        <v>1</v>
      </c>
      <c r="E17" s="123">
        <v>1</v>
      </c>
      <c r="F17" s="97" t="s">
        <v>211</v>
      </c>
      <c r="G17" s="154"/>
    </row>
    <row r="18" spans="1:7" ht="157.9" customHeight="1" x14ac:dyDescent="0.25">
      <c r="A18" s="155" t="s">
        <v>190</v>
      </c>
      <c r="B18" s="158"/>
      <c r="C18" s="126" t="s">
        <v>173</v>
      </c>
      <c r="D18" s="127">
        <v>1</v>
      </c>
      <c r="E18" s="127">
        <v>1</v>
      </c>
      <c r="F18" s="40" t="s">
        <v>226</v>
      </c>
      <c r="G18" s="158"/>
    </row>
    <row r="19" spans="1:7" ht="61.15" customHeight="1" x14ac:dyDescent="0.25">
      <c r="A19" s="156"/>
      <c r="B19" s="159"/>
      <c r="C19" s="125" t="s">
        <v>174</v>
      </c>
      <c r="D19" s="123">
        <v>1</v>
      </c>
      <c r="E19" s="123">
        <v>1</v>
      </c>
      <c r="F19" s="3" t="s">
        <v>213</v>
      </c>
      <c r="G19" s="159"/>
    </row>
    <row r="20" spans="1:7" ht="76.900000000000006" customHeight="1" x14ac:dyDescent="0.25">
      <c r="A20" s="156"/>
      <c r="B20" s="159"/>
      <c r="C20" s="125" t="s">
        <v>175</v>
      </c>
      <c r="D20" s="123">
        <v>1</v>
      </c>
      <c r="E20" s="123">
        <v>1</v>
      </c>
      <c r="F20" s="3" t="s">
        <v>214</v>
      </c>
      <c r="G20" s="159"/>
    </row>
    <row r="21" spans="1:7" ht="45" customHeight="1" x14ac:dyDescent="0.25">
      <c r="A21" s="156"/>
      <c r="B21" s="159"/>
      <c r="C21" s="125" t="s">
        <v>176</v>
      </c>
      <c r="D21" s="123">
        <v>1</v>
      </c>
      <c r="E21" s="123">
        <v>1</v>
      </c>
      <c r="F21" s="3" t="s">
        <v>215</v>
      </c>
      <c r="G21" s="159"/>
    </row>
    <row r="22" spans="1:7" ht="123" customHeight="1" x14ac:dyDescent="0.25">
      <c r="A22" s="156"/>
      <c r="B22" s="159"/>
      <c r="C22" s="125" t="s">
        <v>177</v>
      </c>
      <c r="D22" s="123">
        <v>1</v>
      </c>
      <c r="E22" s="123">
        <v>2</v>
      </c>
      <c r="F22" s="3" t="s">
        <v>216</v>
      </c>
      <c r="G22" s="159"/>
    </row>
    <row r="23" spans="1:7" ht="139.9" customHeight="1" x14ac:dyDescent="0.25">
      <c r="A23" s="156"/>
      <c r="B23" s="159"/>
      <c r="C23" s="125" t="s">
        <v>178</v>
      </c>
      <c r="D23" s="123">
        <v>3</v>
      </c>
      <c r="E23" s="123">
        <v>3</v>
      </c>
      <c r="F23" s="3" t="s">
        <v>221</v>
      </c>
      <c r="G23" s="159"/>
    </row>
    <row r="24" spans="1:7" ht="77.45" customHeight="1" x14ac:dyDescent="0.25">
      <c r="A24" s="156"/>
      <c r="B24" s="159"/>
      <c r="C24" s="125" t="s">
        <v>179</v>
      </c>
      <c r="D24" s="123">
        <v>1</v>
      </c>
      <c r="E24" s="123">
        <v>1</v>
      </c>
      <c r="F24" s="3" t="s">
        <v>217</v>
      </c>
      <c r="G24" s="159"/>
    </row>
    <row r="25" spans="1:7" ht="212.45" customHeight="1" x14ac:dyDescent="0.25">
      <c r="A25" s="156"/>
      <c r="B25" s="159"/>
      <c r="C25" s="125" t="s">
        <v>180</v>
      </c>
      <c r="D25" s="123">
        <v>2</v>
      </c>
      <c r="E25" s="123">
        <v>2</v>
      </c>
      <c r="F25" s="3" t="s">
        <v>219</v>
      </c>
      <c r="G25" s="159"/>
    </row>
    <row r="26" spans="1:7" ht="338.45" customHeight="1" x14ac:dyDescent="0.25">
      <c r="A26" s="156"/>
      <c r="B26" s="159"/>
      <c r="C26" s="125" t="s">
        <v>181</v>
      </c>
      <c r="D26" s="123">
        <v>4</v>
      </c>
      <c r="E26" s="123">
        <v>4</v>
      </c>
      <c r="F26" s="3" t="s">
        <v>229</v>
      </c>
      <c r="G26" s="159"/>
    </row>
    <row r="27" spans="1:7" ht="136.9" customHeight="1" x14ac:dyDescent="0.25">
      <c r="A27" s="157"/>
      <c r="B27" s="160"/>
      <c r="C27" s="125" t="s">
        <v>182</v>
      </c>
      <c r="D27" s="123">
        <v>2</v>
      </c>
      <c r="E27" s="123">
        <v>2</v>
      </c>
      <c r="F27" s="3" t="s">
        <v>220</v>
      </c>
      <c r="G27" s="160"/>
    </row>
    <row r="28" spans="1:7" ht="22.15" customHeight="1" x14ac:dyDescent="0.3">
      <c r="A28" s="28" t="s">
        <v>168</v>
      </c>
      <c r="B28" s="119"/>
      <c r="C28" s="29"/>
      <c r="D28" s="124">
        <f>SUM(D16:D27)</f>
        <v>19</v>
      </c>
      <c r="E28" s="124">
        <f>SUM(E16:E27)</f>
        <v>20</v>
      </c>
      <c r="F28" s="117"/>
      <c r="G28" s="36"/>
    </row>
    <row r="29" spans="1:7" ht="85.9" customHeight="1" x14ac:dyDescent="0.25">
      <c r="A29" s="155" t="s">
        <v>36</v>
      </c>
      <c r="B29" s="158">
        <v>0.4</v>
      </c>
      <c r="C29" s="10" t="s">
        <v>183</v>
      </c>
      <c r="D29" s="123">
        <v>1</v>
      </c>
      <c r="E29" s="123">
        <v>1</v>
      </c>
      <c r="F29" s="97" t="s">
        <v>228</v>
      </c>
      <c r="G29" s="164">
        <f>'Matriz seguimiento'!AB6</f>
        <v>1</v>
      </c>
    </row>
    <row r="30" spans="1:7" ht="80.45" customHeight="1" x14ac:dyDescent="0.25">
      <c r="A30" s="156"/>
      <c r="B30" s="159"/>
      <c r="C30" s="10" t="s">
        <v>38</v>
      </c>
      <c r="D30" s="174" t="s">
        <v>195</v>
      </c>
      <c r="E30" s="175"/>
      <c r="F30" s="176"/>
      <c r="G30" s="165"/>
    </row>
    <row r="31" spans="1:7" ht="55.9" customHeight="1" x14ac:dyDescent="0.25">
      <c r="A31" s="156"/>
      <c r="B31" s="159"/>
      <c r="C31" s="10" t="s">
        <v>184</v>
      </c>
      <c r="D31" s="4">
        <v>1</v>
      </c>
      <c r="E31" s="4">
        <v>1</v>
      </c>
      <c r="F31" s="97" t="s">
        <v>153</v>
      </c>
      <c r="G31" s="165"/>
    </row>
    <row r="32" spans="1:7" ht="69" customHeight="1" x14ac:dyDescent="0.25">
      <c r="A32" s="156"/>
      <c r="B32" s="159"/>
      <c r="C32" s="10" t="s">
        <v>40</v>
      </c>
      <c r="D32" s="4">
        <v>1</v>
      </c>
      <c r="E32" s="4">
        <v>1</v>
      </c>
      <c r="F32" s="97" t="s">
        <v>152</v>
      </c>
      <c r="G32" s="165"/>
    </row>
    <row r="33" spans="1:7" ht="69.599999999999994" customHeight="1" x14ac:dyDescent="0.25">
      <c r="A33" s="157"/>
      <c r="B33" s="160"/>
      <c r="C33" s="10" t="s">
        <v>185</v>
      </c>
      <c r="D33" s="4">
        <v>1</v>
      </c>
      <c r="E33" s="4">
        <v>1</v>
      </c>
      <c r="F33" s="129" t="s">
        <v>232</v>
      </c>
      <c r="G33" s="166"/>
    </row>
    <row r="34" spans="1:7" ht="31.9" customHeight="1" x14ac:dyDescent="0.3">
      <c r="A34" s="28" t="s">
        <v>168</v>
      </c>
      <c r="B34" s="119"/>
      <c r="C34" s="29"/>
      <c r="D34" s="30">
        <f>D29+D31+D32+D33</f>
        <v>4</v>
      </c>
      <c r="E34" s="118">
        <f>E29+E31+E32+E33</f>
        <v>4</v>
      </c>
      <c r="F34" s="15"/>
      <c r="G34" s="36"/>
    </row>
    <row r="35" spans="1:7" ht="175.15" customHeight="1" x14ac:dyDescent="0.25">
      <c r="A35" s="121" t="s">
        <v>193</v>
      </c>
      <c r="B35" s="120">
        <v>0.15</v>
      </c>
      <c r="C35" s="123" t="s">
        <v>186</v>
      </c>
      <c r="D35" s="123">
        <v>1</v>
      </c>
      <c r="E35" s="123">
        <v>1</v>
      </c>
      <c r="F35" s="122" t="s">
        <v>123</v>
      </c>
      <c r="G35" s="120">
        <f>'Matriz seguimiento'!AB7</f>
        <v>1</v>
      </c>
    </row>
    <row r="36" spans="1:7" ht="108.6" customHeight="1" x14ac:dyDescent="0.25">
      <c r="A36" s="121" t="s">
        <v>192</v>
      </c>
      <c r="B36" s="120">
        <v>0.05</v>
      </c>
      <c r="C36" s="123" t="s">
        <v>187</v>
      </c>
      <c r="D36" s="123">
        <v>1</v>
      </c>
      <c r="E36" s="123">
        <v>1</v>
      </c>
      <c r="F36" s="122" t="s">
        <v>225</v>
      </c>
      <c r="G36" s="120">
        <f>'Matriz seguimiento'!AB8</f>
        <v>1</v>
      </c>
    </row>
    <row r="37" spans="1:7" ht="30.6" customHeight="1" x14ac:dyDescent="0.3">
      <c r="A37" s="11" t="s">
        <v>194</v>
      </c>
      <c r="B37" s="12">
        <f>SUM(B3:B36)</f>
        <v>1</v>
      </c>
      <c r="C37" s="11"/>
      <c r="D37" s="37">
        <f>D15+D28+D34+D35+D36</f>
        <v>45</v>
      </c>
      <c r="E37" s="37">
        <f>E15+E28+E34+E35+E36</f>
        <v>47</v>
      </c>
      <c r="F37" s="41"/>
      <c r="G37" s="12">
        <f>'Matriz seguimiento'!AB9</f>
        <v>1</v>
      </c>
    </row>
  </sheetData>
  <mergeCells count="24">
    <mergeCell ref="G29:G33"/>
    <mergeCell ref="E1:E2"/>
    <mergeCell ref="A1:A2"/>
    <mergeCell ref="B1:B2"/>
    <mergeCell ref="C1:C2"/>
    <mergeCell ref="D1:D2"/>
    <mergeCell ref="A15:C15"/>
    <mergeCell ref="D30:F30"/>
    <mergeCell ref="A3:A8"/>
    <mergeCell ref="B3:B8"/>
    <mergeCell ref="A16:A17"/>
    <mergeCell ref="B16:B17"/>
    <mergeCell ref="F1:F2"/>
    <mergeCell ref="D8:F8"/>
    <mergeCell ref="A29:A33"/>
    <mergeCell ref="B29:B33"/>
    <mergeCell ref="G16:G17"/>
    <mergeCell ref="A18:A27"/>
    <mergeCell ref="B18:B27"/>
    <mergeCell ref="G18:G27"/>
    <mergeCell ref="G3:G8"/>
    <mergeCell ref="A9:A14"/>
    <mergeCell ref="B9:B14"/>
    <mergeCell ref="G9:G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e_x0020_documento xmlns="0d8d2a93-33a2-41d8-b57a-674d8cfe4baf">Plan Anual de Auditorías</Tipo_x0020_de_x0020_documento>
    <A_x00f1_o xmlns="0d8d2a93-33a2-41d8-b57a-674d8cfe4baf">2016</A_x00f1_o>
    <Fecha_x0020_del_x0020_documento xmlns="0d8d2a93-33a2-41d8-b57a-674d8cfe4baf">2017-06-30T05:00:00+00:00</Fecha_x0020_del_x0020_documento>
    <Subcarpeta xmlns="0d8d2a93-33a2-41d8-b57a-674d8cfe4baf">Plan Anual de Auditorías</Subcarpeta>
    <Carpeta xmlns="0d8d2a93-33a2-41d8-b57a-674d8cfe4baf">Otro</Carpeta>
    <Proyecto xmlns="0d8d2a93-33a2-41d8-b57a-674d8cfe4baf">Ninguno</Proyec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87b1df763ce4128fe8613e9df1a2d371">
  <xsd:schema xmlns:xsd="http://www.w3.org/2001/XMLSchema" xmlns:xs="http://www.w3.org/2001/XMLSchema" xmlns:p="http://schemas.microsoft.com/office/2006/metadata/properties" xmlns:ns2="0d8d2a93-33a2-41d8-b57a-674d8cfe4baf" targetNamespace="http://schemas.microsoft.com/office/2006/metadata/properties" ma:root="true" ma:fieldsID="5646f4fa29b94b76f5bff250988f96eb"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7CC505-AB2C-4ACB-A448-0798A7A39DE7}"/>
</file>

<file path=customXml/itemProps2.xml><?xml version="1.0" encoding="utf-8"?>
<ds:datastoreItem xmlns:ds="http://schemas.openxmlformats.org/officeDocument/2006/customXml" ds:itemID="{7CC09274-96DF-4318-8BC7-372FC4B5286F}"/>
</file>

<file path=customXml/itemProps3.xml><?xml version="1.0" encoding="utf-8"?>
<ds:datastoreItem xmlns:ds="http://schemas.openxmlformats.org/officeDocument/2006/customXml" ds:itemID="{09DE9F01-18C0-4D14-9E18-7FD8DFFF66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seguimiento</vt:lpstr>
      <vt:lpstr>Consolidado Avances</vt:lpstr>
      <vt:lpstr>'Matriz seguimiento'!Títulos_a_imprimir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PROGRAMA ANUAL DE AUDITORIA 2016 SEGUIMIENTO</dc:title>
  <dc:creator>Martha Lucia Garay Castro</dc:creator>
  <cp:lastModifiedBy>Edgar Galarza</cp:lastModifiedBy>
  <cp:lastPrinted>2017-01-26T20:26:01Z</cp:lastPrinted>
  <dcterms:created xsi:type="dcterms:W3CDTF">2016-04-12T15:06:01Z</dcterms:created>
  <dcterms:modified xsi:type="dcterms:W3CDTF">2017-06-30T19:53:16Z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