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linda\Downloads\"/>
    </mc:Choice>
  </mc:AlternateContent>
  <bookViews>
    <workbookView showHorizontalScroll="0" showVerticalScroll="0" showSheetTabs="0" xWindow="0" yWindow="0" windowWidth="20490" windowHeight="7050" tabRatio="777" activeTab="7"/>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4" i="1" l="1"/>
  <c r="G15" i="12" s="1"/>
  <c r="G13" i="1"/>
  <c r="G14" i="12" s="1"/>
  <c r="G15" i="1"/>
  <c r="G16" i="12" s="1"/>
  <c r="G16" i="1"/>
  <c r="G17" i="12" s="1"/>
  <c r="G17" i="1"/>
  <c r="G18" i="12" s="1"/>
  <c r="G12" i="1"/>
  <c r="G13" i="12" s="1"/>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authors>
    <author>Juan Pablo Garzón Peraza</author>
  </authors>
  <commentList>
    <comment ref="C21" authorId="0" shapeId="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<sst xmlns="http://schemas.openxmlformats.org/spreadsheetml/2006/main" count="277" uniqueCount="204">
  <si>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</si>
  <si>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</si>
  <si>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</si>
  <si>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</si>
  <si>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</si>
  <si>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</si>
  <si>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</si>
  <si>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</si>
  <si>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</si>
  <si>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</si>
  <si>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</si>
  <si>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</si>
  <si>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</si>
  <si>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</si>
  <si>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</si>
  <si>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</si>
  <si>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</si>
  <si>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</si>
  <si>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</si>
  <si>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</si>
  <si>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</si>
  <si>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</si>
  <si>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</si>
  <si>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</si>
  <si>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</si>
  <si>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</si>
  <si>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</si>
  <si>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</si>
  <si>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</si>
  <si>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</si>
  <si>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</si>
  <si>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</si>
  <si>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</si>
  <si>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</si>
  <si>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</si>
  <si>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</si>
  <si>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</si>
  <si>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</si>
  <si>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</si>
  <si>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</si>
  <si>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</si>
  <si>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</si>
  <si>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</si>
  <si>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</si>
  <si>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</si>
  <si>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</si>
  <si>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</si>
  <si>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</si>
  <si>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</si>
  <si>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</si>
  <si>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</si>
  <si>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</si>
  <si>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</si>
  <si>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</si>
  <si>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</si>
  <si>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</si>
  <si>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</si>
  <si>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</si>
  <si>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</si>
  <si>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</si>
  <si>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</si>
  <si>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</si>
  <si>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</si>
  <si>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</si>
  <si>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</si>
  <si>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</si>
  <si>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</si>
  <si>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</si>
  <si>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</si>
  <si>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</si>
  <si>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</si>
  <si>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</si>
  <si>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Provisión incorrecta</t>
  </si>
  <si>
    <t>JUDICIALES</t>
  </si>
  <si>
    <t>PREJUDICIALES</t>
  </si>
  <si>
    <t>Plantilla de certificado de Control Interno eKOGUI</t>
  </si>
  <si>
    <t>ACTUALIZADO</t>
  </si>
  <si>
    <t>Entre 21-03-2019 y 31-12-2019</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</si>
  <si>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</si>
  <si>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</si>
  <si>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</si>
  <si>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</si>
  <si>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</si>
  <si>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</si>
  <si>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</si>
  <si>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</si>
  <si>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</si>
  <si>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</si>
  <si>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</si>
  <si>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</si>
  <si>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</si>
  <si>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</si>
  <si>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</si>
  <si>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</si>
  <si>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</si>
  <si>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</si>
  <si>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</si>
  <si>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</si>
  <si>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</si>
  <si>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</si>
  <si>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</si>
  <si>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</si>
  <si>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</si>
  <si>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</si>
  <si>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</si>
  <si>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</si>
  <si>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</si>
  <si>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</si>
  <si>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</si>
  <si>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</si>
  <si>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</si>
  <si>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</si>
  <si>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</si>
  <si>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</si>
  <si>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</si>
  <si>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</si>
  <si>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</si>
  <si>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</si>
  <si>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</si>
  <si>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</si>
  <si>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</si>
  <si>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</si>
  <si>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</si>
  <si>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</si>
  <si>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</si>
  <si>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</si>
  <si>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</si>
  <si>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</si>
  <si>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</si>
  <si>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</si>
  <si>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</si>
  <si>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</si>
  <si>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</si>
  <si>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</si>
  <si>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</si>
  <si>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</si>
  <si>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</si>
  <si>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</si>
  <si>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</si>
  <si>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</si>
  <si>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</si>
  <si>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</si>
  <si>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</si>
  <si>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</si>
  <si>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</si>
  <si>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</si>
  <si>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</si>
  <si>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</si>
  <si>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Abogados al 30 de junio de 2022</t>
  </si>
  <si>
    <t>ABOGADOS ACTIVOS AL 30-06-2022</t>
  </si>
  <si>
    <t>PROCESOS ACTIVOS AL 30 DE JUNIO DE 2022</t>
  </si>
  <si>
    <t>(1) Con fecha de registro anterior al 15-06-2022</t>
  </si>
  <si>
    <t>PROCESOS TERMINADOS PRIMER SEMESTRE 2022</t>
  </si>
  <si>
    <t>TERMINADOS EN EKOGUI DURANTE PRIMER SEMESTRE 2022 (2)</t>
  </si>
  <si>
    <t>(2) Con fecha de actuación en 2022</t>
  </si>
  <si>
    <r>
      <t>(3)En el reporte de activos al 30 de junio verifique la columna</t>
    </r>
    <r>
      <rPr>
        <b/>
        <i/>
        <sz val="9"/>
        <color theme="1"/>
        <rFont val="Calibri"/>
        <family val="2"/>
        <scheme val="minor"/>
      </rPr>
      <t xml:space="preserve"> Estado General del proceso</t>
    </r>
  </si>
  <si>
    <t>(4)Equivalente a un valor indexado de $33.000 millones a 30 de junio de 2022</t>
  </si>
  <si>
    <t>PREJUDICIALES ACTIVAS AL 30-06-2022</t>
  </si>
  <si>
    <t>REGISTRO POSTERIOR AL 31/12/2021</t>
  </si>
  <si>
    <t>REGISTRO EN PRIMER SEMESTRE DE 2021 Y ANTERIORES</t>
  </si>
  <si>
    <t>REGISTRO ENTRE  1 DE JULIO Y 31 DE DICIEMBRE DE 2021</t>
  </si>
  <si>
    <t>CANTIDAD DE ABOGADOS LITIGANDO SEGUN JURIDICA</t>
  </si>
  <si>
    <t>RETIRADOS EN LA ENTIDAD PRIMER SEMESTRE 2022 SEGÚN JURIDICA</t>
  </si>
  <si>
    <t>CANTIDAD DE PROCESOS ACTIVOS SEGÚN JURIDICA</t>
  </si>
  <si>
    <t>PROCESOS TERMINADOS DURANTE PRIMER SEMESTRE 2022 SEGÚN JURIDICA</t>
  </si>
  <si>
    <t>PROCESO TERMINADOS EN EKOGUI AL 30 DE JUNIO 2022</t>
  </si>
  <si>
    <t>PROCESOS ACTIVOS EN EKOGUI CON ESTADO TERMINADO(3)</t>
  </si>
  <si>
    <t>Cantidad de procesos de más de 33.000 SMMLV SEGÚN JURIDICA</t>
  </si>
  <si>
    <t>PROCESOS ACTIVOS EN EKOGUI  EN CALIDAD DEMANDADO AL 30-06-2022</t>
  </si>
  <si>
    <t>PROCESOS EN EKOGUI CON CALIFICACIÓN PRIMER SEMESTRE 2022</t>
  </si>
  <si>
    <t>PROCESOS EN EKOGUI CON CALIFICACIÓN ANTERIOR A 31-12-2021</t>
  </si>
  <si>
    <t>PROCESOS EN EKOGUI SIN CALIFICACIÓN</t>
  </si>
  <si>
    <t>(6) Solo se consideran los procesos activos en e-Kogui - calidad demandado al 30 de JUNIO de 2022 que tengan calificación de riesgo</t>
  </si>
  <si>
    <t>TOTAL PREJUDICIALES ACTIVOS SEGÚN JURIDICA</t>
  </si>
  <si>
    <t>ARBITRAMENTOS ACTIVOS AL 30-06-2022 SEGÚN JURIDICA</t>
  </si>
  <si>
    <t>TOTAL ARBITRAMENTOS TERMINADOS  AL 30-06-2022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</si>
  <si>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</si>
  <si>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</si>
  <si>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TOTAL PREJUDICIALES TERMINADOS I SEM. 2022 SEGÚN JURIDICA</t>
  </si>
  <si>
    <t>ARBITRAMENTOS ACTIVOS REGISTRADOS EN EKOGUI</t>
  </si>
  <si>
    <t>INACTIVADOS EN EKOGUI PRIMER SEMESTRE 2022</t>
  </si>
  <si>
    <t>Realiza Pagos por SIIF</t>
  </si>
  <si>
    <t>NOMBRE ENTIDAD QUE REPORTA</t>
  </si>
  <si>
    <t>NOMBRE JEFE CONTROL INTERNO QUE REPORTA</t>
  </si>
  <si>
    <t>calificar o cualificar o comparar a las entidades, no hay valores buenos ni malos. No es una hoja de validaciÓn</t>
  </si>
  <si>
    <t>Uso del Módulo Pagos</t>
  </si>
  <si>
    <t>TERMINADOS EN EKOGUI ÚLTIMA ACTUACIÓN  I SEM. 2022</t>
  </si>
  <si>
    <t>Su entidad utilizo el modulo de pagos en 2022-I?</t>
  </si>
  <si>
    <t>PREJUDICIALES TERMINADAS PRIMER SEMESTRE 2022</t>
  </si>
  <si>
    <t>SANTIAGO VELANDIA DAZA</t>
  </si>
  <si>
    <t>OLGA YANETH ARAGON SANCHEZ</t>
  </si>
  <si>
    <t>DIANA PATRICIA VILLAMIL BUITRAGO</t>
  </si>
  <si>
    <t>JORGE ALBERTO MORENO VILLAREAL</t>
  </si>
  <si>
    <t>DIANA DEL CARMEN SANDOVAL</t>
  </si>
  <si>
    <t>RODRIGO ANDRES BERNAL MONTERO</t>
  </si>
  <si>
    <t>Hubo actualizacion de los perfiles de Jefe Financiero, Jefe Juridico y Secretario Tecnico,  al igual Se anexan en formato word los pantallazos de las capacitaciones 
realilzadas a  cada uno de los Roles descritos.</t>
  </si>
  <si>
    <t>Se anexa  en formato word los pantallazos de  capacitacion realizada el 6-4-2022 a los abogados de la entidad</t>
  </si>
  <si>
    <t>Para el primer semestre del 2022 no se radicaron procesos arbitrales ante la entidad</t>
  </si>
  <si>
    <t>Para el 1 semestre de 2022, la entidad ha generado 1 pago por el siif 
sin embargo aun no se ha cargado la informacion del pago por parte
de minhacienda y asi poder gestionar la informacion</t>
  </si>
  <si>
    <t>Proceso sin asignacion se estaba esperando la notificacion de la admision del mismo, Se encuentran 7 
procesos sin calificar 1 sin asignacion a corte de junio, y 6 los cuales ya se encontraban con asignacion de 
apoderado, pero que se encuentran en terminos para contestar antes del  30 de Junio, por consiguiente aun no se habia hecho la respectiva calificacion de riesgo</t>
  </si>
  <si>
    <t>Se evidencia 1 proceso prejudicial activo registrado a finales de febrero de 2022, 
sin embargo a la entidad no se ha allegado ni la conciliacion extrajudicial ni la
fecha de audiencia de conciliacion, por ende, despues de los 6 meses desde que se registra, se procederá a cerrar el caso</t>
  </si>
  <si>
    <t>MINISTERIO DE VIVIENDA, CIUDAD  Y TERRITORIO</t>
  </si>
  <si>
    <t>Olga Yaneth Aragón Sánchez</t>
  </si>
  <si>
    <t xml:space="preserve">Continuar con la implementación de las acciones de mejora o correctivas establecidas en el plan de mejoramiento del MVCT suscrito con la Contraloría General de la República, frente a los hallazgos cuya responsabilidad corresponde a la OAJ, a fin de mantener actualizada con oportunidad y calidad la información en el e-KOGUI 2.0.   
Mantener permanentemente actualizado el Sistema Único de Gestión e Información Litigiosa del Estado –e- KOGUI, con respecto a la actualización de la información que debe registrarse acerca de los perfiles de los abogados activos de la Entidad que ejercen la defensa judicial, así como la actualización del módulo de pagos.  
Asegurar la actualización oportuna de la información de los procesos cargados en el sistema eKOGUI, en relación con la información contenida en la matriz “PJC-F-01 Base de Datos de Información de Procesos Judiciales 7.0” por la OAJ.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</si>
</sst>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11"/>
      <color rgb="FF444444"/>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38">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0" xfId="0" applyFill="1" applyBorder="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applyFont="1"/>
    <xf numFmtId="164" fontId="15" fillId="0" borderId="0" xfId="2" applyNumberFormat="1"/>
    <xf numFmtId="0" fontId="15" fillId="4" borderId="0" xfId="2" applyFont="1" applyFill="1"/>
    <xf numFmtId="0" fontId="15" fillId="4" borderId="0" xfId="2" applyFont="1" applyFill="1" applyBorder="1"/>
    <xf numFmtId="0" fontId="15" fillId="4" borderId="0" xfId="2" applyFont="1"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Fill="1" applyBorder="1" applyProtection="1">
      <protection hidden="1"/>
    </xf>
    <xf numFmtId="0" fontId="0" fillId="2" borderId="0" xfId="0" applyFill="1" applyBorder="1" applyAlignment="1">
      <alignment horizontal="center"/>
    </xf>
    <xf numFmtId="0" fontId="4" fillId="2" borderId="0" xfId="0" applyFont="1" applyFill="1" applyProtection="1"/>
    <xf numFmtId="0" fontId="0" fillId="2" borderId="0" xfId="0" applyFill="1" applyBorder="1" applyAlignment="1" applyProtection="1"/>
    <xf numFmtId="0" fontId="0" fillId="0" borderId="0" xfId="0" applyBorder="1" applyProtection="1"/>
    <xf numFmtId="0" fontId="0" fillId="2" borderId="5" xfId="0" applyFill="1" applyBorder="1" applyProtection="1"/>
    <xf numFmtId="0" fontId="0" fillId="0" borderId="0" xfId="0" applyFill="1" applyProtection="1"/>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Border="1" applyAlignment="1">
      <alignment horizontal="center" vertical="center"/>
    </xf>
    <xf numFmtId="0" fontId="17" fillId="0" borderId="0" xfId="0" applyFont="1" applyBorder="1" applyAlignment="1">
      <alignment horizontal="center"/>
    </xf>
    <xf numFmtId="0" fontId="2" fillId="3" borderId="19" xfId="0" applyFont="1" applyFill="1" applyBorder="1" applyAlignment="1">
      <alignment horizontal="center"/>
    </xf>
    <xf numFmtId="0" fontId="0" fillId="2" borderId="12" xfId="0" applyFill="1" applyBorder="1" applyProtection="1">
      <protection locked="0"/>
    </xf>
    <xf numFmtId="14" fontId="0" fillId="2" borderId="12" xfId="0" applyNumberFormat="1" applyFill="1" applyBorder="1" applyProtection="1">
      <protection locked="0"/>
    </xf>
    <xf numFmtId="14" fontId="18" fillId="0" borderId="0" xfId="0" applyNumberFormat="1" applyFont="1" applyProtection="1">
      <protection locked="0"/>
    </xf>
    <xf numFmtId="14" fontId="0" fillId="2" borderId="9" xfId="0" applyNumberFormat="1" applyFill="1" applyBorder="1" applyProtection="1">
      <protection locked="0"/>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6" borderId="13" xfId="0" applyFill="1" applyBorder="1" applyAlignment="1" applyProtection="1">
      <alignment horizontal="left" vertical="top" wrapText="1"/>
      <protection locked="0"/>
    </xf>
    <xf numFmtId="0" fontId="0" fillId="6" borderId="23" xfId="0" applyFill="1" applyBorder="1" applyAlignment="1" applyProtection="1">
      <alignment horizontal="center" vertical="top"/>
      <protection locked="0"/>
    </xf>
    <xf numFmtId="0" fontId="0" fillId="6" borderId="27" xfId="0" applyFill="1" applyBorder="1" applyAlignment="1" applyProtection="1">
      <alignment horizontal="center" vertical="top"/>
      <protection locked="0"/>
    </xf>
    <xf numFmtId="0" fontId="0" fillId="6" borderId="24" xfId="0"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Border="1" applyAlignment="1">
      <alignment horizontal="center"/>
    </xf>
  </cellXfs>
  <cellStyles count="3">
    <cellStyle name="Excel Built-in Normal" xfId="2"/>
    <cellStyle name="Normal" xfId="0" builtinId="0"/>
    <cellStyle name="Porcentaje" xfId="1" builtinId="5"/>
  </cellStyles>
  <dxfs count="4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O18"/>
  <sheetViews>
    <sheetView showGridLines="0" workbookViewId="0"/>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96" t="s">
        <v>75</v>
      </c>
      <c r="C3" s="97"/>
      <c r="D3" s="97"/>
      <c r="E3" s="97"/>
      <c r="F3" s="97"/>
      <c r="G3" s="97"/>
      <c r="H3" s="97"/>
      <c r="I3" s="97"/>
      <c r="J3" s="97"/>
      <c r="K3" s="97"/>
      <c r="L3" s="97"/>
      <c r="M3" s="97"/>
      <c r="N3" s="97"/>
      <c r="O3" s="98"/>
    </row>
    <row r="4" spans="2:15" ht="23.25" x14ac:dyDescent="0.35">
      <c r="B4" s="96" t="s">
        <v>11</v>
      </c>
      <c r="C4" s="97"/>
      <c r="D4" s="97"/>
      <c r="E4" s="97"/>
      <c r="F4" s="97"/>
      <c r="G4" s="97"/>
      <c r="H4" s="97"/>
      <c r="I4" s="97"/>
      <c r="J4" s="97"/>
      <c r="K4" s="97"/>
      <c r="L4" s="97"/>
      <c r="M4" s="97"/>
      <c r="N4" s="97"/>
      <c r="O4" s="98"/>
    </row>
    <row r="5" spans="2:15" x14ac:dyDescent="0.25">
      <c r="B5" s="5"/>
      <c r="C5" s="6"/>
      <c r="D5" s="6"/>
      <c r="E5" s="6"/>
      <c r="F5" s="6"/>
      <c r="G5" s="6"/>
      <c r="H5" s="6"/>
      <c r="I5" s="6"/>
      <c r="J5" s="6"/>
      <c r="K5" s="6"/>
      <c r="L5" s="6"/>
      <c r="M5" s="6"/>
      <c r="N5" s="6"/>
      <c r="O5" s="7"/>
    </row>
    <row r="6" spans="2:15" x14ac:dyDescent="0.25">
      <c r="B6" s="5"/>
      <c r="C6" s="99" t="s">
        <v>87</v>
      </c>
      <c r="D6" s="99"/>
      <c r="E6" s="99"/>
      <c r="F6" s="99"/>
      <c r="G6" s="99"/>
      <c r="H6" s="99"/>
      <c r="I6" s="99"/>
      <c r="J6" s="99"/>
      <c r="K6" s="99"/>
      <c r="L6" s="99"/>
      <c r="M6" s="99"/>
      <c r="N6" s="99"/>
      <c r="O6" s="7"/>
    </row>
    <row r="7" spans="2:15" x14ac:dyDescent="0.25">
      <c r="B7" s="5"/>
      <c r="C7" s="99"/>
      <c r="D7" s="99"/>
      <c r="E7" s="99"/>
      <c r="F7" s="99"/>
      <c r="G7" s="99"/>
      <c r="H7" s="99"/>
      <c r="I7" s="99"/>
      <c r="J7" s="99"/>
      <c r="K7" s="99"/>
      <c r="L7" s="99"/>
      <c r="M7" s="99"/>
      <c r="N7" s="99"/>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5:T19"/>
  <sheetViews>
    <sheetView zoomScale="89" zoomScaleNormal="89" workbookViewId="0">
      <selection activeCell="D9" sqref="D9"/>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42"/>
    <col min="10" max="10" width="11.85546875" style="42" bestFit="1" customWidth="1"/>
    <col min="11" max="16384" width="11.42578125" style="1"/>
  </cols>
  <sheetData>
    <row r="5" spans="2:20" ht="15.75" thickBot="1" x14ac:dyDescent="0.3"/>
    <row r="6" spans="2:20" x14ac:dyDescent="0.25">
      <c r="B6" s="11"/>
      <c r="C6" s="12"/>
      <c r="D6" s="12"/>
      <c r="E6" s="12"/>
      <c r="F6" s="12"/>
      <c r="G6" s="13"/>
    </row>
    <row r="7" spans="2:20" ht="21" x14ac:dyDescent="0.35">
      <c r="B7" s="100" t="s">
        <v>105</v>
      </c>
      <c r="C7" s="101"/>
      <c r="D7" s="101"/>
      <c r="E7" s="101"/>
      <c r="F7" s="101"/>
      <c r="G7" s="102"/>
      <c r="T7" s="1" t="s">
        <v>12</v>
      </c>
    </row>
    <row r="8" spans="2:20" ht="15.75" thickBot="1" x14ac:dyDescent="0.3">
      <c r="B8" s="14"/>
      <c r="C8" s="15"/>
      <c r="D8" s="108" t="s">
        <v>143</v>
      </c>
      <c r="E8" s="108"/>
      <c r="F8" s="15"/>
      <c r="G8" s="16"/>
      <c r="T8" s="1" t="s">
        <v>13</v>
      </c>
    </row>
    <row r="9" spans="2:20" ht="15.75" thickBot="1" x14ac:dyDescent="0.3">
      <c r="B9" s="106" t="s">
        <v>107</v>
      </c>
      <c r="C9" s="107"/>
      <c r="D9" s="79">
        <v>44799</v>
      </c>
      <c r="E9" s="15"/>
      <c r="F9" s="15"/>
      <c r="G9" s="16"/>
      <c r="T9" s="1" t="s">
        <v>14</v>
      </c>
    </row>
    <row r="10" spans="2:20" x14ac:dyDescent="0.25">
      <c r="B10" s="14" t="s">
        <v>145</v>
      </c>
      <c r="C10" s="15"/>
      <c r="D10" s="15"/>
      <c r="E10" s="15"/>
      <c r="F10" s="15"/>
      <c r="G10" s="67">
        <v>43545</v>
      </c>
    </row>
    <row r="11" spans="2:20" x14ac:dyDescent="0.25">
      <c r="B11" s="22" t="s">
        <v>15</v>
      </c>
      <c r="C11" s="23" t="s">
        <v>16</v>
      </c>
      <c r="D11" s="24" t="s">
        <v>6</v>
      </c>
      <c r="E11" s="23" t="s">
        <v>7</v>
      </c>
      <c r="F11" s="23" t="s">
        <v>17</v>
      </c>
      <c r="G11" s="25" t="s">
        <v>76</v>
      </c>
    </row>
    <row r="12" spans="2:20" x14ac:dyDescent="0.25">
      <c r="B12" s="21" t="s">
        <v>0</v>
      </c>
      <c r="C12" s="78" t="s">
        <v>12</v>
      </c>
      <c r="D12" s="79">
        <v>44433</v>
      </c>
      <c r="E12" s="92" t="s">
        <v>192</v>
      </c>
      <c r="F12" s="93">
        <v>44631</v>
      </c>
      <c r="G12" s="80" t="str">
        <f>+IF(C12="SI",IF(F12&lt;$G$10,"DESACTUALIZADO",""),"")</f>
        <v/>
      </c>
      <c r="H12" s="42">
        <f t="shared" ref="H12:H17" si="0">+IF(C12="N/A",1,0)</f>
        <v>0</v>
      </c>
      <c r="I12" s="42">
        <f t="shared" ref="I12:I17" si="1">+IF(C12="Si",1,0)</f>
        <v>1</v>
      </c>
      <c r="J12" s="42">
        <f t="shared" ref="J12:J17" si="2">+IF(C12="No",1,0)</f>
        <v>0</v>
      </c>
    </row>
    <row r="13" spans="2:20" x14ac:dyDescent="0.25">
      <c r="B13" s="21" t="s">
        <v>1</v>
      </c>
      <c r="C13" s="78" t="s">
        <v>12</v>
      </c>
      <c r="D13" s="95">
        <v>44692</v>
      </c>
      <c r="E13" s="92" t="s">
        <v>193</v>
      </c>
      <c r="F13" s="93">
        <v>44645</v>
      </c>
      <c r="G13" s="80" t="str">
        <f t="shared" ref="G13:G17" si="3">+IF(C13="SI",IF(F13&lt;$G$10,"DESACTUALIZADO",""),"")</f>
        <v/>
      </c>
      <c r="H13" s="42">
        <f t="shared" si="0"/>
        <v>0</v>
      </c>
      <c r="I13" s="42">
        <f t="shared" si="1"/>
        <v>1</v>
      </c>
      <c r="J13" s="42">
        <f t="shared" si="2"/>
        <v>0</v>
      </c>
    </row>
    <row r="14" spans="2:20" x14ac:dyDescent="0.25">
      <c r="B14" s="21" t="s">
        <v>2</v>
      </c>
      <c r="C14" s="78" t="s">
        <v>12</v>
      </c>
      <c r="D14" s="95">
        <v>44058</v>
      </c>
      <c r="E14" s="92" t="s">
        <v>189</v>
      </c>
      <c r="F14" s="93">
        <v>44631</v>
      </c>
      <c r="G14" s="80" t="str">
        <f t="shared" si="3"/>
        <v/>
      </c>
      <c r="H14" s="42">
        <f t="shared" si="0"/>
        <v>0</v>
      </c>
      <c r="I14" s="42">
        <f t="shared" si="1"/>
        <v>1</v>
      </c>
      <c r="J14" s="42">
        <f t="shared" si="2"/>
        <v>0</v>
      </c>
      <c r="T14" s="48">
        <v>43545</v>
      </c>
    </row>
    <row r="15" spans="2:20" x14ac:dyDescent="0.25">
      <c r="B15" s="21" t="s">
        <v>3</v>
      </c>
      <c r="C15" s="78" t="s">
        <v>12</v>
      </c>
      <c r="D15" s="95">
        <v>42801</v>
      </c>
      <c r="E15" s="92" t="s">
        <v>190</v>
      </c>
      <c r="F15" s="93">
        <v>44587</v>
      </c>
      <c r="G15" s="80" t="str">
        <f t="shared" si="3"/>
        <v/>
      </c>
      <c r="H15" s="42">
        <f t="shared" si="0"/>
        <v>0</v>
      </c>
      <c r="I15" s="42">
        <f t="shared" si="1"/>
        <v>1</v>
      </c>
      <c r="J15" s="42">
        <f t="shared" si="2"/>
        <v>0</v>
      </c>
    </row>
    <row r="16" spans="2:20" x14ac:dyDescent="0.25">
      <c r="B16" s="21" t="s">
        <v>4</v>
      </c>
      <c r="C16" s="78" t="s">
        <v>12</v>
      </c>
      <c r="D16" s="95">
        <v>44707</v>
      </c>
      <c r="E16" s="92" t="s">
        <v>194</v>
      </c>
      <c r="F16" s="94">
        <v>44638</v>
      </c>
      <c r="G16" s="80" t="str">
        <f t="shared" si="3"/>
        <v/>
      </c>
      <c r="H16" s="42">
        <f t="shared" si="0"/>
        <v>0</v>
      </c>
      <c r="I16" s="42">
        <f t="shared" si="1"/>
        <v>1</v>
      </c>
      <c r="J16" s="42">
        <f t="shared" si="2"/>
        <v>0</v>
      </c>
    </row>
    <row r="17" spans="2:10" x14ac:dyDescent="0.25">
      <c r="B17" s="21" t="s">
        <v>5</v>
      </c>
      <c r="C17" s="78" t="s">
        <v>12</v>
      </c>
      <c r="D17" s="95">
        <v>42746</v>
      </c>
      <c r="E17" s="92" t="s">
        <v>191</v>
      </c>
      <c r="F17" s="93">
        <v>44643</v>
      </c>
      <c r="G17" s="80" t="str">
        <f t="shared" si="3"/>
        <v/>
      </c>
      <c r="H17" s="42">
        <f t="shared" si="0"/>
        <v>0</v>
      </c>
      <c r="I17" s="42">
        <f t="shared" si="1"/>
        <v>1</v>
      </c>
      <c r="J17" s="42">
        <f t="shared" si="2"/>
        <v>0</v>
      </c>
    </row>
    <row r="18" spans="2:10" x14ac:dyDescent="0.25">
      <c r="B18" s="14"/>
      <c r="C18" s="15"/>
      <c r="D18" s="15"/>
      <c r="E18" s="15"/>
      <c r="F18" s="15"/>
      <c r="G18" s="16"/>
    </row>
    <row r="19" spans="2:10" ht="94.5" customHeight="1" thickBot="1" x14ac:dyDescent="0.3">
      <c r="B19" s="62" t="s">
        <v>90</v>
      </c>
      <c r="C19" s="103" t="s">
        <v>195</v>
      </c>
      <c r="D19" s="104"/>
      <c r="E19" s="104"/>
      <c r="F19" s="104"/>
      <c r="G19" s="105"/>
    </row>
  </sheetData>
  <sheetProtection algorithmName="SHA-512" hashValue="guBwrDrRnk1KuL1QTxzhX+93X5l/aUSlJP3gAz5OjRJbKk1gJlGrcA8FEPrUFZMHmi3icEReOMBE9XonogNp0w==" saltValue="7DocmJkL4AB8U+xMv4KRdA==" spinCount="100000" sheet="1" objects="1" scenarios="1"/>
  <dataConsolidate/>
  <mergeCells count="4">
    <mergeCell ref="B7:G7"/>
    <mergeCell ref="C19:G19"/>
    <mergeCell ref="B9:C9"/>
    <mergeCell ref="D8:E8"/>
  </mergeCells>
  <conditionalFormatting sqref="C12:C17">
    <cfRule type="containsText" dxfId="41" priority="13" operator="containsText" text="N/A">
      <formula>NOT(ISERROR(SEARCH("N/A",C12)))</formula>
    </cfRule>
    <cfRule type="containsBlanks" dxfId="40" priority="21">
      <formula>LEN(TRIM(C12))=0</formula>
    </cfRule>
  </conditionalFormatting>
  <conditionalFormatting sqref="D9">
    <cfRule type="containsBlanks" dxfId="39" priority="20">
      <formula>LEN(TRIM(D9))=0</formula>
    </cfRule>
  </conditionalFormatting>
  <conditionalFormatting sqref="D12:F17">
    <cfRule type="containsBlanks" dxfId="38" priority="15">
      <formula>LEN(TRIM(D12))=0</formula>
    </cfRule>
  </conditionalFormatting>
  <conditionalFormatting sqref="C19">
    <cfRule type="containsBlanks" dxfId="37" priority="14">
      <formula>LEN(TRIM(C19))=0</formula>
    </cfRule>
  </conditionalFormatting>
  <conditionalFormatting sqref="D12:F12 D13:D17">
    <cfRule type="expression" dxfId="36" priority="9">
      <formula>OR($C$12="No",$C$12="N/A")</formula>
    </cfRule>
  </conditionalFormatting>
  <conditionalFormatting sqref="D14:F14">
    <cfRule type="expression" dxfId="35" priority="8">
      <formula>OR($C$14="No",$C$14="N/A")</formula>
    </cfRule>
  </conditionalFormatting>
  <conditionalFormatting sqref="D13:F13">
    <cfRule type="expression" dxfId="34" priority="6">
      <formula>OR($C$13="No",$C$13="N/A")</formula>
    </cfRule>
  </conditionalFormatting>
  <conditionalFormatting sqref="D15:F15">
    <cfRule type="expression" dxfId="33" priority="4">
      <formula>OR($C$15="No",$C$15="N/A")</formula>
    </cfRule>
  </conditionalFormatting>
  <conditionalFormatting sqref="D16:F16">
    <cfRule type="expression" dxfId="32" priority="3">
      <formula>OR($C$16="No",$C$16="N/A")</formula>
    </cfRule>
  </conditionalFormatting>
  <conditionalFormatting sqref="D17:F17">
    <cfRule type="expression" dxfId="31" priority="2">
      <formula>OR($C$17="No",$C$17="N/A")</formula>
    </cfRule>
  </conditionalFormatting>
  <conditionalFormatting sqref="F13:F17">
    <cfRule type="expression" dxfId="30" priority="1">
      <formula>OR($C$12="No",$C$12="N/A")</formula>
    </cfRule>
  </conditionalFormatting>
  <dataValidations count="5">
    <dataValidation type="date" showInputMessage="1" showErrorMessage="1" promptTitle="Fecha de Generacion del Reporte" prompt="Indique la fecha en que genera o Elabora este reporte de Usuarios Activos  No Abogados" sqref="D9">
      <formula1>44742</formula1>
      <formula2>44823</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formula1>$T$7:$T$9</formula1>
    </dataValidation>
    <dataValidation showInputMessage="1" showErrorMessage="1" sqref="E12 E14:E17"/>
    <dataValidation showInputMessage="1" showErrorMessage="1" errorTitle="Fecha invalida" error="La fecha debe estar entre el 01/01/2011 y el 31/03/2022" sqref="E13"/>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F12:F17">
      <formula1>40544</formula1>
      <formula2>44823</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V26"/>
  <sheetViews>
    <sheetView showGridLines="0" zoomScale="91" zoomScaleNormal="91" workbookViewId="0">
      <selection activeCell="C22" sqref="C22:G25"/>
    </sheetView>
  </sheetViews>
  <sheetFormatPr baseColWidth="10"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+IF(D12&lt;=10,D12,IF(ROUNDDOWN(D12*10%,0)&lt;10,10,ROUNDDOWN(D12*10%,0)))</f>
        <v>10</v>
      </c>
    </row>
    <row r="4" spans="2:22" x14ac:dyDescent="0.25">
      <c r="B4" s="14"/>
      <c r="C4" s="15"/>
      <c r="D4" s="15"/>
      <c r="E4" s="15"/>
      <c r="F4" s="15"/>
      <c r="G4" s="15"/>
      <c r="H4" s="16"/>
    </row>
    <row r="5" spans="2:22" x14ac:dyDescent="0.25">
      <c r="B5" s="14"/>
      <c r="C5" s="15"/>
      <c r="D5" s="15" t="s">
        <v>143</v>
      </c>
      <c r="E5" s="15"/>
      <c r="F5" s="15"/>
      <c r="G5" s="15"/>
      <c r="H5" s="16"/>
    </row>
    <row r="6" spans="2:22" ht="15" customHeight="1" x14ac:dyDescent="0.25">
      <c r="B6" s="14"/>
      <c r="C6" s="27"/>
      <c r="D6" s="27"/>
      <c r="E6" s="27"/>
      <c r="G6" s="32"/>
      <c r="H6" s="33"/>
    </row>
    <row r="7" spans="2:22" ht="17.25" customHeight="1" x14ac:dyDescent="0.35">
      <c r="B7" s="14"/>
      <c r="C7" s="20" t="s">
        <v>107</v>
      </c>
      <c r="D7" s="79">
        <v>44799</v>
      </c>
      <c r="E7" s="26"/>
      <c r="F7" s="109" t="str">
        <f>"Seleccione una muestra de "&amp;V3&amp;" abogados activos y complete la siguiente tabla"</f>
        <v>Seleccione una muestra de 10 abogados activos y complete la siguiente tabla</v>
      </c>
      <c r="G7" s="110"/>
      <c r="H7" s="33"/>
    </row>
    <row r="8" spans="2:22" x14ac:dyDescent="0.25">
      <c r="B8" s="14"/>
      <c r="D8" s="15"/>
      <c r="E8" s="15"/>
      <c r="F8" s="111"/>
      <c r="G8" s="112"/>
      <c r="H8" s="16"/>
      <c r="T8" s="1" t="s">
        <v>13</v>
      </c>
    </row>
    <row r="9" spans="2:22" ht="23.25" x14ac:dyDescent="0.25">
      <c r="B9" s="14"/>
      <c r="C9" s="34" t="s">
        <v>148</v>
      </c>
      <c r="E9" s="6"/>
      <c r="F9" s="24" t="s">
        <v>94</v>
      </c>
      <c r="G9" s="24" t="s">
        <v>19</v>
      </c>
      <c r="H9" s="16"/>
      <c r="T9" s="1" t="s">
        <v>14</v>
      </c>
    </row>
    <row r="10" spans="2:22" x14ac:dyDescent="0.25">
      <c r="B10" s="14"/>
      <c r="C10" s="23" t="s">
        <v>149</v>
      </c>
      <c r="D10" s="23" t="s">
        <v>23</v>
      </c>
      <c r="E10" s="6"/>
      <c r="F10" s="20" t="s">
        <v>91</v>
      </c>
      <c r="G10" s="78">
        <v>10</v>
      </c>
      <c r="H10" s="16"/>
    </row>
    <row r="11" spans="2:22" x14ac:dyDescent="0.25">
      <c r="B11" s="14"/>
      <c r="C11" s="20" t="s">
        <v>161</v>
      </c>
      <c r="D11" s="78">
        <v>20</v>
      </c>
      <c r="E11" s="6"/>
      <c r="F11" s="20" t="s">
        <v>92</v>
      </c>
      <c r="G11" s="78">
        <v>10</v>
      </c>
      <c r="H11" s="16"/>
    </row>
    <row r="12" spans="2:22" x14ac:dyDescent="0.25">
      <c r="B12" s="14"/>
      <c r="C12" s="20" t="s">
        <v>22</v>
      </c>
      <c r="D12" s="78">
        <v>20</v>
      </c>
      <c r="E12" s="6"/>
      <c r="F12" s="20" t="s">
        <v>93</v>
      </c>
      <c r="G12" s="78">
        <v>10</v>
      </c>
      <c r="H12" s="16"/>
    </row>
    <row r="13" spans="2:22" x14ac:dyDescent="0.25">
      <c r="B13" s="14"/>
      <c r="C13" s="20" t="s">
        <v>26</v>
      </c>
      <c r="D13" s="78">
        <v>20</v>
      </c>
      <c r="E13" s="6"/>
      <c r="F13" s="52" t="s">
        <v>99</v>
      </c>
      <c r="G13" s="51"/>
      <c r="H13" s="16"/>
    </row>
    <row r="14" spans="2:22" x14ac:dyDescent="0.25">
      <c r="B14" s="14"/>
      <c r="E14" s="6"/>
      <c r="F14" s="53" t="s">
        <v>100</v>
      </c>
      <c r="G14" s="54"/>
      <c r="H14" s="16"/>
    </row>
    <row r="15" spans="2:22" x14ac:dyDescent="0.25">
      <c r="B15" s="14"/>
      <c r="E15" s="6"/>
      <c r="H15" s="16"/>
    </row>
    <row r="16" spans="2:22" x14ac:dyDescent="0.25">
      <c r="B16" s="14"/>
      <c r="C16" s="23" t="s">
        <v>24</v>
      </c>
      <c r="D16" s="23" t="s">
        <v>23</v>
      </c>
      <c r="E16" s="6"/>
      <c r="F16" s="24" t="s">
        <v>103</v>
      </c>
      <c r="G16" s="24" t="s">
        <v>19</v>
      </c>
      <c r="H16" s="16"/>
    </row>
    <row r="17" spans="2:8" x14ac:dyDescent="0.25">
      <c r="B17" s="14"/>
      <c r="C17" s="20" t="s">
        <v>162</v>
      </c>
      <c r="D17" s="78">
        <v>3</v>
      </c>
      <c r="E17" s="6"/>
      <c r="F17" s="20" t="s">
        <v>106</v>
      </c>
      <c r="G17" s="78">
        <v>20</v>
      </c>
      <c r="H17" s="16"/>
    </row>
    <row r="18" spans="2:8" x14ac:dyDescent="0.25">
      <c r="B18" s="14"/>
      <c r="C18" s="20" t="s">
        <v>180</v>
      </c>
      <c r="D18" s="78">
        <v>3</v>
      </c>
      <c r="E18" s="6"/>
      <c r="F18" s="49" t="s">
        <v>77</v>
      </c>
      <c r="G18" s="78">
        <v>19</v>
      </c>
      <c r="H18" s="16"/>
    </row>
    <row r="19" spans="2:8" x14ac:dyDescent="0.25">
      <c r="B19" s="14"/>
      <c r="C19" s="59"/>
      <c r="E19" s="6"/>
      <c r="F19" s="20" t="s">
        <v>96</v>
      </c>
      <c r="G19" s="78">
        <v>19</v>
      </c>
      <c r="H19" s="16"/>
    </row>
    <row r="20" spans="2:8" x14ac:dyDescent="0.25">
      <c r="B20" s="14"/>
      <c r="C20" s="59"/>
      <c r="E20" s="6"/>
      <c r="F20" s="20" t="s">
        <v>25</v>
      </c>
      <c r="G20" s="78">
        <v>0</v>
      </c>
      <c r="H20" s="16"/>
    </row>
    <row r="21" spans="2:8" x14ac:dyDescent="0.25">
      <c r="B21" s="14"/>
      <c r="C21" s="82" t="s">
        <v>95</v>
      </c>
      <c r="D21" s="83"/>
      <c r="E21" s="84"/>
      <c r="F21" s="86"/>
      <c r="G21" s="86"/>
      <c r="H21" s="85"/>
    </row>
    <row r="22" spans="2:8" x14ac:dyDescent="0.25">
      <c r="B22" s="14"/>
      <c r="C22" s="113" t="s">
        <v>196</v>
      </c>
      <c r="D22" s="114"/>
      <c r="E22" s="114"/>
      <c r="F22" s="114"/>
      <c r="G22" s="115"/>
      <c r="H22" s="16"/>
    </row>
    <row r="23" spans="2:8" x14ac:dyDescent="0.25">
      <c r="B23" s="14"/>
      <c r="C23" s="116"/>
      <c r="D23" s="117"/>
      <c r="E23" s="117"/>
      <c r="F23" s="117"/>
      <c r="G23" s="118"/>
      <c r="H23" s="16"/>
    </row>
    <row r="24" spans="2:8" x14ac:dyDescent="0.25">
      <c r="B24" s="14"/>
      <c r="C24" s="116"/>
      <c r="D24" s="117"/>
      <c r="E24" s="117"/>
      <c r="F24" s="117"/>
      <c r="G24" s="118"/>
      <c r="H24" s="16"/>
    </row>
    <row r="25" spans="2:8" x14ac:dyDescent="0.25">
      <c r="B25" s="14"/>
      <c r="C25" s="119"/>
      <c r="D25" s="120"/>
      <c r="E25" s="120"/>
      <c r="F25" s="120"/>
      <c r="G25" s="121"/>
      <c r="H25" s="16"/>
    </row>
    <row r="26" spans="2:8" ht="15.75" thickBot="1" x14ac:dyDescent="0.3">
      <c r="B26" s="17"/>
      <c r="C26" s="18"/>
      <c r="D26" s="18"/>
      <c r="E26" s="18"/>
      <c r="F26" s="18"/>
      <c r="G26" s="18"/>
      <c r="H26" s="19"/>
    </row>
  </sheetData>
  <sheetProtection algorithmName="SHA-512" hashValue="8RVfEKhnYWfIrZgxadx6Lc2rQDLeuKO1UW4AlYqnO3coVmDLUoIAogyz2Won+/zis7CW1pAtLh7Ek1Vaki8u8w==" saltValue="vQUyMhNw20AE2MFLVmAxDA==" spinCount="100000" sheet="1" objects="1" scenarios="1"/>
  <mergeCells count="2">
    <mergeCell ref="F7:G8"/>
    <mergeCell ref="C22:G25"/>
  </mergeCells>
  <conditionalFormatting sqref="D11:D13">
    <cfRule type="containsBlanks" dxfId="29" priority="15">
      <formula>LEN(TRIM(D11))=0</formula>
    </cfRule>
  </conditionalFormatting>
  <conditionalFormatting sqref="C22">
    <cfRule type="containsBlanks" dxfId="28" priority="11">
      <formula>LEN(TRIM(C22))=0</formula>
    </cfRule>
  </conditionalFormatting>
  <conditionalFormatting sqref="D17:D18">
    <cfRule type="containsBlanks" dxfId="27" priority="7">
      <formula>LEN(TRIM(D17))=0</formula>
    </cfRule>
  </conditionalFormatting>
  <conditionalFormatting sqref="G10:G12">
    <cfRule type="containsBlanks" dxfId="26" priority="6">
      <formula>LEN(TRIM(G10))=0</formula>
    </cfRule>
  </conditionalFormatting>
  <conditionalFormatting sqref="G17:G20">
    <cfRule type="containsBlanks" dxfId="25" priority="5">
      <formula>LEN(TRIM(G17))=0</formula>
    </cfRule>
  </conditionalFormatting>
  <conditionalFormatting sqref="D7">
    <cfRule type="containsBlanks" dxfId="24"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formula1>0</formula1>
    </dataValidation>
    <dataValidation type="date" showInputMessage="1" showErrorMessage="1" errorTitle="FECHA INVALIDA" promptTitle="Fecha de Generacion del Reporte " prompt="Diligenciar la fecha de Generacion de este Reporte de Usuarios Abogados Formato (DD/MM/AAAA)" sqref="D7">
      <formula1>44742</formula1>
      <formula2>44823</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1:W34"/>
  <sheetViews>
    <sheetView showGridLines="0" topLeftCell="C1" zoomScale="90" zoomScaleNormal="90" workbookViewId="0">
      <selection activeCell="F28" sqref="F28:H33"/>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+IF(D17&lt;=10,D17,IF(ROUNDDOWN(D17*10%,0)&lt;10,10,ROUNDDOWN(D17*10%,0)))</f>
        <v>10</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27" t="s">
        <v>65</v>
      </c>
      <c r="D6" s="127"/>
      <c r="E6" s="127"/>
      <c r="F6" s="127"/>
      <c r="G6" s="127"/>
      <c r="H6" s="127"/>
      <c r="I6" s="33"/>
    </row>
    <row r="7" spans="2:23" x14ac:dyDescent="0.25">
      <c r="B7" s="14"/>
      <c r="C7" s="15"/>
      <c r="D7" s="27"/>
      <c r="E7" s="81" t="s">
        <v>143</v>
      </c>
      <c r="F7" s="27"/>
      <c r="G7" s="15"/>
      <c r="H7" s="15"/>
      <c r="I7" s="16"/>
      <c r="U7" s="1" t="s">
        <v>13</v>
      </c>
    </row>
    <row r="8" spans="2:23" x14ac:dyDescent="0.25">
      <c r="B8" s="14"/>
      <c r="C8" s="23" t="s">
        <v>107</v>
      </c>
      <c r="D8" s="79">
        <v>44799</v>
      </c>
      <c r="E8" s="6"/>
      <c r="F8" s="37" t="s">
        <v>102</v>
      </c>
      <c r="G8" s="91" t="s">
        <v>18</v>
      </c>
      <c r="H8" s="15"/>
      <c r="I8" s="16"/>
      <c r="U8" s="1" t="s">
        <v>14</v>
      </c>
    </row>
    <row r="9" spans="2:23" x14ac:dyDescent="0.25">
      <c r="B9" s="14"/>
      <c r="E9" s="6"/>
      <c r="F9" s="20" t="s">
        <v>167</v>
      </c>
      <c r="G9" s="78">
        <v>14</v>
      </c>
      <c r="H9" s="15"/>
      <c r="I9" s="16"/>
    </row>
    <row r="10" spans="2:23" x14ac:dyDescent="0.25">
      <c r="B10" s="14"/>
      <c r="C10" s="23" t="s">
        <v>150</v>
      </c>
      <c r="D10" s="23" t="s">
        <v>23</v>
      </c>
      <c r="E10" s="6"/>
      <c r="F10" s="20" t="s">
        <v>57</v>
      </c>
      <c r="G10" s="78">
        <v>14</v>
      </c>
      <c r="H10" s="15"/>
      <c r="I10" s="16"/>
    </row>
    <row r="11" spans="2:23" x14ac:dyDescent="0.25">
      <c r="B11" s="14"/>
      <c r="C11" s="20" t="s">
        <v>163</v>
      </c>
      <c r="D11" s="78">
        <v>686</v>
      </c>
      <c r="E11" s="6"/>
      <c r="F11" s="20" t="s">
        <v>79</v>
      </c>
      <c r="G11" s="78">
        <v>14</v>
      </c>
      <c r="H11" s="15"/>
      <c r="I11" s="16"/>
    </row>
    <row r="12" spans="2:23" x14ac:dyDescent="0.25">
      <c r="B12" s="14"/>
      <c r="C12" s="20" t="s">
        <v>28</v>
      </c>
      <c r="D12" s="78">
        <v>686</v>
      </c>
      <c r="E12" s="6"/>
      <c r="F12" s="38" t="s">
        <v>156</v>
      </c>
      <c r="I12" s="16"/>
    </row>
    <row r="13" spans="2:23" x14ac:dyDescent="0.25">
      <c r="B13" s="14"/>
      <c r="C13" s="20" t="s">
        <v>78</v>
      </c>
      <c r="D13" s="78">
        <v>1</v>
      </c>
      <c r="E13" s="6"/>
      <c r="F13" s="38" t="s">
        <v>80</v>
      </c>
      <c r="I13" s="16"/>
    </row>
    <row r="14" spans="2:23" x14ac:dyDescent="0.25">
      <c r="B14" s="14"/>
      <c r="C14" s="38" t="s">
        <v>151</v>
      </c>
      <c r="E14" s="6"/>
      <c r="F14" s="24" t="s">
        <v>32</v>
      </c>
      <c r="G14" s="23" t="s">
        <v>23</v>
      </c>
      <c r="I14" s="16"/>
    </row>
    <row r="15" spans="2:23" x14ac:dyDescent="0.25">
      <c r="B15" s="14"/>
      <c r="C15" s="23" t="s">
        <v>152</v>
      </c>
      <c r="D15" s="23" t="s">
        <v>23</v>
      </c>
      <c r="E15" s="6"/>
      <c r="F15" s="20" t="s">
        <v>168</v>
      </c>
      <c r="G15" s="78">
        <v>559</v>
      </c>
      <c r="I15" s="16"/>
    </row>
    <row r="16" spans="2:23" x14ac:dyDescent="0.25">
      <c r="B16" s="14"/>
      <c r="C16" s="20" t="s">
        <v>164</v>
      </c>
      <c r="D16" s="78">
        <v>13</v>
      </c>
      <c r="E16" s="6"/>
      <c r="F16" s="20" t="s">
        <v>169</v>
      </c>
      <c r="G16" s="78">
        <v>552</v>
      </c>
      <c r="H16" s="15"/>
      <c r="I16" s="16"/>
    </row>
    <row r="17" spans="2:9" x14ac:dyDescent="0.25">
      <c r="B17" s="14"/>
      <c r="C17" s="20" t="s">
        <v>153</v>
      </c>
      <c r="D17" s="78">
        <v>13</v>
      </c>
      <c r="E17" s="6"/>
      <c r="F17" s="20" t="s">
        <v>170</v>
      </c>
      <c r="G17" s="78">
        <v>0</v>
      </c>
      <c r="H17" s="15"/>
      <c r="I17" s="16"/>
    </row>
    <row r="18" spans="2:9" x14ac:dyDescent="0.25">
      <c r="B18" s="14"/>
      <c r="C18" s="38" t="s">
        <v>154</v>
      </c>
      <c r="E18" s="6"/>
      <c r="F18" s="20" t="s">
        <v>171</v>
      </c>
      <c r="G18" s="78">
        <v>7</v>
      </c>
      <c r="H18" s="15"/>
      <c r="I18" s="16"/>
    </row>
    <row r="19" spans="2:9" x14ac:dyDescent="0.25">
      <c r="B19" s="14"/>
      <c r="E19" s="6"/>
      <c r="H19" s="15"/>
      <c r="I19" s="16"/>
    </row>
    <row r="20" spans="2:9" ht="29.25" customHeight="1" x14ac:dyDescent="0.25">
      <c r="B20" s="14"/>
      <c r="C20" s="50" t="s">
        <v>31</v>
      </c>
      <c r="D20" s="50" t="s">
        <v>23</v>
      </c>
      <c r="E20" s="6"/>
      <c r="F20" s="39" t="s">
        <v>101</v>
      </c>
      <c r="G20" s="50" t="s">
        <v>144</v>
      </c>
      <c r="H20" s="40" t="s">
        <v>64</v>
      </c>
      <c r="I20" s="16"/>
    </row>
    <row r="21" spans="2:9" x14ac:dyDescent="0.25">
      <c r="B21" s="14"/>
      <c r="C21" s="60" t="s">
        <v>165</v>
      </c>
      <c r="D21" s="78">
        <v>742</v>
      </c>
      <c r="E21" s="6"/>
      <c r="F21" s="20" t="s">
        <v>60</v>
      </c>
      <c r="G21" s="78">
        <v>34</v>
      </c>
      <c r="H21" s="78">
        <v>20</v>
      </c>
      <c r="I21" s="16"/>
    </row>
    <row r="22" spans="2:9" ht="15" customHeight="1" x14ac:dyDescent="0.25">
      <c r="B22" s="14"/>
      <c r="C22" s="60" t="s">
        <v>166</v>
      </c>
      <c r="D22" s="78">
        <v>54</v>
      </c>
      <c r="E22" s="6"/>
      <c r="F22" s="20" t="s">
        <v>61</v>
      </c>
      <c r="G22" s="78">
        <v>135</v>
      </c>
      <c r="H22" s="78">
        <v>0</v>
      </c>
      <c r="I22" s="16"/>
    </row>
    <row r="23" spans="2:9" x14ac:dyDescent="0.25">
      <c r="B23" s="14"/>
      <c r="C23" s="66" t="s">
        <v>155</v>
      </c>
      <c r="D23" s="66"/>
      <c r="E23" s="6"/>
      <c r="F23" s="20" t="s">
        <v>62</v>
      </c>
      <c r="G23" s="78">
        <v>40</v>
      </c>
      <c r="H23" s="78">
        <v>0</v>
      </c>
      <c r="I23" s="16"/>
    </row>
    <row r="24" spans="2:9" x14ac:dyDescent="0.25">
      <c r="B24" s="14"/>
      <c r="C24" s="15"/>
      <c r="E24" s="6"/>
      <c r="F24" s="20" t="s">
        <v>63</v>
      </c>
      <c r="G24" s="78">
        <v>343</v>
      </c>
      <c r="H24" s="78">
        <v>0</v>
      </c>
      <c r="I24" s="16"/>
    </row>
    <row r="25" spans="2:9" ht="30" customHeight="1" x14ac:dyDescent="0.25">
      <c r="B25" s="14"/>
      <c r="C25" s="68" t="str">
        <f>"Seleccione "&amp;W3&amp;" procesos teminados en el  primer semestre de 2022 y llene la siguiente tabla:"</f>
        <v>Seleccione 10 procesos teminados en el  primer semestre de 2022 y llene la siguiente tabla:</v>
      </c>
      <c r="D25" s="63"/>
      <c r="E25" s="6"/>
      <c r="F25" s="128" t="s">
        <v>172</v>
      </c>
      <c r="G25" s="128"/>
      <c r="H25" s="128"/>
      <c r="I25" s="16"/>
    </row>
    <row r="26" spans="2:9" ht="15.75" thickBot="1" x14ac:dyDescent="0.3">
      <c r="B26" s="14"/>
      <c r="C26" s="64"/>
      <c r="D26" s="65"/>
      <c r="E26" s="6"/>
      <c r="F26" s="61"/>
      <c r="G26" s="15"/>
      <c r="H26" s="15"/>
      <c r="I26" s="16"/>
    </row>
    <row r="27" spans="2:9" x14ac:dyDescent="0.25">
      <c r="B27" s="14"/>
      <c r="C27" s="50" t="s">
        <v>89</v>
      </c>
      <c r="D27" s="50" t="s">
        <v>23</v>
      </c>
      <c r="E27" s="6"/>
      <c r="F27" s="122" t="s">
        <v>88</v>
      </c>
      <c r="G27" s="123"/>
      <c r="H27" s="124"/>
      <c r="I27" s="16"/>
    </row>
    <row r="28" spans="2:9" x14ac:dyDescent="0.25">
      <c r="B28" s="14"/>
      <c r="C28" s="20" t="s">
        <v>81</v>
      </c>
      <c r="D28" s="78">
        <v>10</v>
      </c>
      <c r="E28" s="6"/>
      <c r="F28" s="125" t="s">
        <v>199</v>
      </c>
      <c r="G28" s="126"/>
      <c r="H28" s="126"/>
      <c r="I28" s="16"/>
    </row>
    <row r="29" spans="2:9" x14ac:dyDescent="0.25">
      <c r="B29" s="14"/>
      <c r="C29" s="20" t="s">
        <v>82</v>
      </c>
      <c r="D29" s="78">
        <v>6</v>
      </c>
      <c r="E29" s="6"/>
      <c r="F29" s="126"/>
      <c r="G29" s="126"/>
      <c r="H29" s="126"/>
      <c r="I29" s="16"/>
    </row>
    <row r="30" spans="2:9" x14ac:dyDescent="0.25">
      <c r="B30" s="14"/>
      <c r="C30" s="20" t="s">
        <v>83</v>
      </c>
      <c r="D30" s="78">
        <v>0</v>
      </c>
      <c r="E30" s="6"/>
      <c r="F30" s="126"/>
      <c r="G30" s="126"/>
      <c r="H30" s="126"/>
      <c r="I30" s="16"/>
    </row>
    <row r="31" spans="2:9" x14ac:dyDescent="0.25">
      <c r="B31" s="14"/>
      <c r="C31" s="20" t="s">
        <v>84</v>
      </c>
      <c r="D31" s="78">
        <v>0</v>
      </c>
      <c r="E31" s="6"/>
      <c r="F31" s="126"/>
      <c r="G31" s="126"/>
      <c r="H31" s="126"/>
      <c r="I31" s="16"/>
    </row>
    <row r="32" spans="2:9" x14ac:dyDescent="0.25">
      <c r="B32" s="14"/>
      <c r="C32" s="20" t="s">
        <v>85</v>
      </c>
      <c r="D32" s="78">
        <v>0</v>
      </c>
      <c r="E32" s="6"/>
      <c r="F32" s="126"/>
      <c r="G32" s="126"/>
      <c r="H32" s="126"/>
      <c r="I32" s="16"/>
    </row>
    <row r="33" spans="2:9" x14ac:dyDescent="0.25">
      <c r="B33" s="14"/>
      <c r="C33" s="15"/>
      <c r="E33" s="6"/>
      <c r="F33" s="126"/>
      <c r="G33" s="126"/>
      <c r="H33" s="126"/>
      <c r="I33" s="16"/>
    </row>
    <row r="34" spans="2:9" ht="15.75" thickBot="1" x14ac:dyDescent="0.3">
      <c r="B34" s="17"/>
      <c r="C34" s="18"/>
      <c r="D34" s="18"/>
      <c r="E34" s="18"/>
      <c r="F34" s="18"/>
      <c r="G34" s="18"/>
      <c r="H34" s="18"/>
      <c r="I34" s="19"/>
    </row>
  </sheetData>
  <sheetProtection algorithmName="SHA-512" hashValue="B9V84//xA42RdCAYWxnnmge3JebK6lrTBnVqgqUZdoaV3dQ6rZl/I6IC2ReFAYckWa0swdX3mj/vDzzbeCdsaQ==" saltValue="dyWH2baFBv95gWeLj1vbeg==" spinCount="100000" sheet="1" objects="1" scenarios="1"/>
  <mergeCells count="4">
    <mergeCell ref="F27:H27"/>
    <mergeCell ref="F28:H33"/>
    <mergeCell ref="C6:H6"/>
    <mergeCell ref="F25:H25"/>
  </mergeCells>
  <conditionalFormatting sqref="D11">
    <cfRule type="containsBlanks" dxfId="23" priority="11">
      <formula>LEN(TRIM(D11))=0</formula>
    </cfRule>
  </conditionalFormatting>
  <conditionalFormatting sqref="D12:D13">
    <cfRule type="containsBlanks" dxfId="22" priority="10">
      <formula>LEN(TRIM(D12))=0</formula>
    </cfRule>
  </conditionalFormatting>
  <conditionalFormatting sqref="D16:D17">
    <cfRule type="containsBlanks" dxfId="21" priority="9">
      <formula>LEN(TRIM(D16))=0</formula>
    </cfRule>
  </conditionalFormatting>
  <conditionalFormatting sqref="D21:D22">
    <cfRule type="containsBlanks" dxfId="20" priority="8">
      <formula>LEN(TRIM(D21))=0</formula>
    </cfRule>
  </conditionalFormatting>
  <conditionalFormatting sqref="D28:D32">
    <cfRule type="containsBlanks" dxfId="19" priority="7">
      <formula>LEN(TRIM(D28))=0</formula>
    </cfRule>
  </conditionalFormatting>
  <conditionalFormatting sqref="G9">
    <cfRule type="containsBlanks" dxfId="18" priority="6">
      <formula>LEN(TRIM(G9))=0</formula>
    </cfRule>
  </conditionalFormatting>
  <conditionalFormatting sqref="G10:G11">
    <cfRule type="containsBlanks" dxfId="17" priority="5">
      <formula>LEN(TRIM(G10))=0</formula>
    </cfRule>
  </conditionalFormatting>
  <conditionalFormatting sqref="G15:G18">
    <cfRule type="containsBlanks" dxfId="16" priority="4">
      <formula>LEN(TRIM(G15))=0</formula>
    </cfRule>
  </conditionalFormatting>
  <conditionalFormatting sqref="G21:H24">
    <cfRule type="containsBlanks" dxfId="15" priority="3">
      <formula>LEN(TRIM(G21))=0</formula>
    </cfRule>
  </conditionalFormatting>
  <conditionalFormatting sqref="F28">
    <cfRule type="containsBlanks" dxfId="14" priority="2">
      <formula>LEN(TRIM(F28))=0</formula>
    </cfRule>
  </conditionalFormatting>
  <conditionalFormatting sqref="D8">
    <cfRule type="containsBlanks" dxfId="13" priority="1">
      <formula>LEN(TRIM(D8))=0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formula1>44742</formula1>
      <formula2>44823</formula2>
    </dataValidation>
    <dataValidation type="whole" operator="greaterThanOrEqual" showInputMessage="1" showErrorMessage="1" errorTitle="Numero Invalido" promptTitle="Ingrese la cantidad Solicitada" prompt="Ingrese la cantidad Solicitada" sqref="D11:D13 D16:D17 D21:D22 D28:D32 G9:G11 G15:G18 G21:H24">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V23"/>
  <sheetViews>
    <sheetView showGridLines="0" workbookViewId="0"/>
  </sheetViews>
  <sheetFormatPr baseColWidth="10"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0</v>
      </c>
    </row>
    <row r="3" spans="2:22" x14ac:dyDescent="0.25">
      <c r="B3" s="14"/>
      <c r="C3" s="15"/>
      <c r="D3" s="15"/>
      <c r="E3" s="15"/>
      <c r="F3" s="15"/>
      <c r="G3" s="15"/>
      <c r="H3" s="16"/>
      <c r="V3" s="28">
        <f>+IF(V2&lt;=20,V2,IF(ROUNDDOWN(V2*10%,0)&lt;20,20,ROUNDDOWN(V2*10%,0)))</f>
        <v>0</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27" t="s">
        <v>146</v>
      </c>
      <c r="D7" s="127"/>
      <c r="E7" s="127"/>
      <c r="F7" s="127"/>
      <c r="G7" s="127"/>
      <c r="H7" s="33"/>
    </row>
    <row r="8" spans="2:22" x14ac:dyDescent="0.25">
      <c r="B8" s="14"/>
      <c r="C8" s="15"/>
      <c r="D8" s="15"/>
      <c r="E8" s="89" t="s">
        <v>143</v>
      </c>
      <c r="H8" s="16"/>
      <c r="T8" s="1" t="s">
        <v>13</v>
      </c>
    </row>
    <row r="9" spans="2:22" ht="15" customHeight="1" x14ac:dyDescent="0.25">
      <c r="B9" s="14"/>
      <c r="C9" s="23" t="s">
        <v>157</v>
      </c>
      <c r="D9" s="23" t="s">
        <v>23</v>
      </c>
      <c r="E9" s="6"/>
      <c r="F9" s="109" t="str">
        <f>"Seleccione una muestra de "&amp;V3&amp;" prejudiciales activos registrados antes de 1 de enero de 2022 y complete la siguiente tabla"</f>
        <v>Seleccione una muestra de 0 prejudiciales activos registrados antes de 1 de enero de 2022 y complete la siguiente tabla</v>
      </c>
      <c r="G9" s="110"/>
      <c r="H9" s="16"/>
      <c r="T9" s="1" t="s">
        <v>14</v>
      </c>
    </row>
    <row r="10" spans="2:22" x14ac:dyDescent="0.25">
      <c r="B10" s="14"/>
      <c r="C10" s="20" t="s">
        <v>173</v>
      </c>
      <c r="D10" s="78">
        <v>2</v>
      </c>
      <c r="E10" s="6"/>
      <c r="F10" s="111"/>
      <c r="G10" s="112"/>
      <c r="H10" s="16"/>
    </row>
    <row r="11" spans="2:22" x14ac:dyDescent="0.25">
      <c r="B11" s="14"/>
      <c r="C11" s="20" t="s">
        <v>52</v>
      </c>
      <c r="D11" s="78">
        <v>3</v>
      </c>
      <c r="E11" s="6"/>
      <c r="F11" s="24" t="s">
        <v>31</v>
      </c>
      <c r="G11" s="24" t="s">
        <v>54</v>
      </c>
      <c r="H11" s="16"/>
    </row>
    <row r="12" spans="2:22" x14ac:dyDescent="0.25">
      <c r="B12" s="14"/>
      <c r="C12" s="20" t="s">
        <v>158</v>
      </c>
      <c r="D12" s="78">
        <v>3</v>
      </c>
      <c r="E12" s="6"/>
      <c r="F12" s="36" t="s">
        <v>55</v>
      </c>
      <c r="G12" s="78">
        <v>0</v>
      </c>
      <c r="H12" s="16"/>
    </row>
    <row r="13" spans="2:22" x14ac:dyDescent="0.25">
      <c r="B13" s="14"/>
      <c r="C13" s="20" t="s">
        <v>160</v>
      </c>
      <c r="D13" s="78">
        <v>0</v>
      </c>
      <c r="E13" s="6"/>
      <c r="F13" s="20" t="s">
        <v>147</v>
      </c>
      <c r="G13" s="78">
        <v>0</v>
      </c>
      <c r="H13" s="16"/>
    </row>
    <row r="14" spans="2:22" x14ac:dyDescent="0.25">
      <c r="B14" s="14"/>
      <c r="C14" s="20" t="s">
        <v>159</v>
      </c>
      <c r="D14" s="78">
        <v>0</v>
      </c>
      <c r="E14" s="6"/>
      <c r="F14"/>
      <c r="G14"/>
      <c r="H14" s="16"/>
    </row>
    <row r="15" spans="2:22" x14ac:dyDescent="0.25">
      <c r="B15" s="14"/>
      <c r="E15" s="6"/>
      <c r="F15"/>
      <c r="G15"/>
      <c r="H15" s="16"/>
    </row>
    <row r="16" spans="2:22" x14ac:dyDescent="0.25">
      <c r="B16" s="14"/>
      <c r="C16" s="23" t="s">
        <v>188</v>
      </c>
      <c r="D16" s="23" t="s">
        <v>23</v>
      </c>
      <c r="E16" s="6"/>
      <c r="F16" s="129" t="s">
        <v>88</v>
      </c>
      <c r="G16" s="129"/>
      <c r="H16" s="16"/>
    </row>
    <row r="17" spans="2:8" x14ac:dyDescent="0.25">
      <c r="B17" s="14"/>
      <c r="C17" s="20" t="s">
        <v>178</v>
      </c>
      <c r="D17" s="78">
        <v>17</v>
      </c>
      <c r="E17" s="6"/>
      <c r="F17" s="125" t="s">
        <v>200</v>
      </c>
      <c r="G17" s="126"/>
      <c r="H17" s="16"/>
    </row>
    <row r="18" spans="2:8" x14ac:dyDescent="0.25">
      <c r="B18" s="14"/>
      <c r="C18" s="20" t="s">
        <v>186</v>
      </c>
      <c r="D18" s="78">
        <v>17</v>
      </c>
      <c r="E18" s="6"/>
      <c r="F18" s="126"/>
      <c r="G18" s="126"/>
      <c r="H18" s="16"/>
    </row>
    <row r="19" spans="2:8" x14ac:dyDescent="0.25">
      <c r="B19" s="14"/>
      <c r="C19"/>
      <c r="D19"/>
      <c r="E19" s="6"/>
      <c r="F19" s="126"/>
      <c r="G19" s="126"/>
      <c r="H19" s="16"/>
    </row>
    <row r="20" spans="2:8" x14ac:dyDescent="0.25">
      <c r="B20" s="14"/>
      <c r="C20"/>
      <c r="D20"/>
      <c r="E20" s="6"/>
      <c r="F20" s="126"/>
      <c r="G20" s="126"/>
      <c r="H20" s="16"/>
    </row>
    <row r="21" spans="2:8" x14ac:dyDescent="0.25">
      <c r="B21" s="14"/>
      <c r="E21" s="6"/>
      <c r="F21" s="126"/>
      <c r="G21" s="126"/>
      <c r="H21" s="16"/>
    </row>
    <row r="22" spans="2:8" x14ac:dyDescent="0.25">
      <c r="B22" s="14"/>
      <c r="C22" s="15"/>
      <c r="D22" s="15"/>
      <c r="E22" s="6"/>
      <c r="F22" s="126"/>
      <c r="G22" s="126"/>
      <c r="H22" s="16"/>
    </row>
    <row r="23" spans="2:8" ht="15.75" thickBot="1" x14ac:dyDescent="0.3">
      <c r="B23" s="17"/>
      <c r="C23" s="18"/>
      <c r="D23" s="18"/>
      <c r="E23" s="18"/>
      <c r="F23" s="18"/>
      <c r="G23" s="18"/>
      <c r="H23" s="19"/>
    </row>
  </sheetData>
  <sheetProtection algorithmName="SHA-512" hashValue="svhajHmZp9AW3z0s3psyvbzJM7AG57NBZ3aSvG/MK/u+6T2QMDmKr+b/gZnu0nJ5FMgkhc8sZSNof1p69Z0VLA==" saltValue="VE+jH07BMJ4HdVIsUGdhqQ==" spinCount="100000" sheet="1" objects="1" scenarios="1"/>
  <mergeCells count="4">
    <mergeCell ref="F9:G10"/>
    <mergeCell ref="C7:G7"/>
    <mergeCell ref="F16:G16"/>
    <mergeCell ref="F17:G22"/>
  </mergeCells>
  <conditionalFormatting sqref="D10:D14">
    <cfRule type="containsBlanks" dxfId="12" priority="4">
      <formula>LEN(TRIM(D10))=0</formula>
    </cfRule>
  </conditionalFormatting>
  <conditionalFormatting sqref="D17:D18">
    <cfRule type="containsBlanks" dxfId="11" priority="3">
      <formula>LEN(TRIM(D17))=0</formula>
    </cfRule>
  </conditionalFormatting>
  <conditionalFormatting sqref="G12:G13">
    <cfRule type="containsBlanks" dxfId="10" priority="2">
      <formula>LEN(TRIM(G12))=0</formula>
    </cfRule>
  </conditionalFormatting>
  <conditionalFormatting sqref="F17">
    <cfRule type="containsBlanks" dxfId="9"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V17"/>
  <sheetViews>
    <sheetView showGridLines="0" workbookViewId="0"/>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67</v>
      </c>
      <c r="D6" s="35"/>
      <c r="E6" s="26"/>
      <c r="F6"/>
      <c r="G6"/>
      <c r="H6" s="33"/>
    </row>
    <row r="7" spans="2:22" x14ac:dyDescent="0.25">
      <c r="B7" s="14"/>
      <c r="C7" s="15" t="s">
        <v>143</v>
      </c>
      <c r="D7" s="15"/>
      <c r="E7" s="15"/>
      <c r="F7"/>
      <c r="G7"/>
      <c r="H7" s="16"/>
      <c r="T7" s="1" t="s">
        <v>13</v>
      </c>
    </row>
    <row r="8" spans="2:22" x14ac:dyDescent="0.25">
      <c r="B8" s="14"/>
      <c r="C8" s="23" t="s">
        <v>67</v>
      </c>
      <c r="D8" s="23" t="s">
        <v>23</v>
      </c>
      <c r="E8" s="6"/>
      <c r="F8" s="23" t="s">
        <v>67</v>
      </c>
      <c r="G8" s="23" t="s">
        <v>23</v>
      </c>
      <c r="H8" s="16"/>
      <c r="T8" s="1" t="s">
        <v>14</v>
      </c>
    </row>
    <row r="9" spans="2:22" x14ac:dyDescent="0.25">
      <c r="B9" s="14"/>
      <c r="C9" s="20" t="s">
        <v>174</v>
      </c>
      <c r="D9" s="78">
        <v>0</v>
      </c>
      <c r="E9" s="6"/>
      <c r="F9" s="20" t="s">
        <v>175</v>
      </c>
      <c r="G9" s="78">
        <v>1</v>
      </c>
      <c r="H9" s="16"/>
    </row>
    <row r="10" spans="2:22" x14ac:dyDescent="0.25">
      <c r="B10" s="14"/>
      <c r="C10" s="20" t="s">
        <v>179</v>
      </c>
      <c r="D10" s="78">
        <v>0</v>
      </c>
      <c r="E10" s="6"/>
      <c r="F10" s="20" t="s">
        <v>86</v>
      </c>
      <c r="G10" s="78">
        <v>1</v>
      </c>
      <c r="H10" s="16"/>
    </row>
    <row r="11" spans="2:22" x14ac:dyDescent="0.25">
      <c r="B11" s="14"/>
      <c r="C11" s="15"/>
      <c r="D11" s="55"/>
      <c r="E11" s="6"/>
      <c r="F11" s="15"/>
      <c r="G11" s="56"/>
      <c r="H11" s="16"/>
    </row>
    <row r="12" spans="2:22" x14ac:dyDescent="0.25">
      <c r="B12" s="14"/>
      <c r="C12" s="57" t="s">
        <v>90</v>
      </c>
      <c r="D12" s="55"/>
      <c r="E12" s="6"/>
      <c r="F12" s="15"/>
      <c r="G12" s="56"/>
      <c r="H12" s="16"/>
      <c r="T12" s="1">
        <f>IF(D9="",0,1)</f>
        <v>1</v>
      </c>
    </row>
    <row r="13" spans="2:22" x14ac:dyDescent="0.25">
      <c r="B13" s="14"/>
      <c r="C13" s="113" t="s">
        <v>197</v>
      </c>
      <c r="D13" s="114"/>
      <c r="E13" s="114"/>
      <c r="F13" s="114"/>
      <c r="G13" s="115"/>
      <c r="H13" s="16"/>
    </row>
    <row r="14" spans="2:22" x14ac:dyDescent="0.25">
      <c r="B14" s="14"/>
      <c r="C14" s="116"/>
      <c r="D14" s="117"/>
      <c r="E14" s="117"/>
      <c r="F14" s="117"/>
      <c r="G14" s="118"/>
      <c r="H14" s="16"/>
    </row>
    <row r="15" spans="2:22" x14ac:dyDescent="0.25">
      <c r="B15" s="14"/>
      <c r="C15" s="116"/>
      <c r="D15" s="117"/>
      <c r="E15" s="117"/>
      <c r="F15" s="117"/>
      <c r="G15" s="118"/>
      <c r="H15" s="16"/>
    </row>
    <row r="16" spans="2:22" x14ac:dyDescent="0.25">
      <c r="B16" s="14"/>
      <c r="C16" s="119"/>
      <c r="D16" s="120"/>
      <c r="E16" s="120"/>
      <c r="F16" s="120"/>
      <c r="G16" s="121"/>
      <c r="H16" s="16"/>
      <c r="T16" s="1">
        <f>IF(G9="",0,1)</f>
        <v>1</v>
      </c>
    </row>
    <row r="17" spans="2:20" ht="15.75" thickBot="1" x14ac:dyDescent="0.3">
      <c r="B17" s="17"/>
      <c r="C17" s="18"/>
      <c r="D17" s="18"/>
      <c r="E17" s="18"/>
      <c r="F17" s="18"/>
      <c r="G17" s="18"/>
      <c r="H17" s="19"/>
      <c r="T17" s="1">
        <f>+T12+T16</f>
        <v>2</v>
      </c>
    </row>
  </sheetData>
  <sheetProtection algorithmName="SHA-512" hashValue="+FCFzMTUyQz9xCbsVZjWh6VfuEuNyvSas18p2Zc+tciO//oKW2KvySRCIuGHsJUxL58937RSbcNcAVq208JAUg==" saltValue="SyOhJUcB2fukD14ffgbYiQ==" spinCount="100000" sheet="1"/>
  <mergeCells count="1">
    <mergeCell ref="C13:G16"/>
  </mergeCells>
  <conditionalFormatting sqref="C13">
    <cfRule type="containsBlanks" dxfId="8" priority="3">
      <formula>LEN(TRIM(C13))=0</formula>
    </cfRule>
  </conditionalFormatting>
  <conditionalFormatting sqref="D9:D10">
    <cfRule type="containsBlanks" dxfId="7" priority="2">
      <formula>LEN(TRIM(D9))=0</formula>
    </cfRule>
  </conditionalFormatting>
  <conditionalFormatting sqref="G9:G10">
    <cfRule type="containsBlanks" dxfId="6"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V11"/>
  <sheetViews>
    <sheetView showGridLines="0" workbookViewId="0">
      <selection activeCell="F16" sqref="F16"/>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t="e">
        <f>+IF(D10&lt;=10,D10,IF(ROUNDDOWN(D10*10%,0)&gt;10,10,ROUNDDOWN(D10*10%,0)))</f>
        <v>#VALUE!</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27" t="s">
        <v>8</v>
      </c>
      <c r="D6" s="127"/>
      <c r="E6" s="26"/>
      <c r="F6"/>
      <c r="G6"/>
      <c r="H6" s="33"/>
      <c r="T6" s="1" t="s">
        <v>12</v>
      </c>
    </row>
    <row r="7" spans="2:22" x14ac:dyDescent="0.25">
      <c r="B7" s="14"/>
      <c r="C7" s="15" t="s">
        <v>143</v>
      </c>
      <c r="D7" s="15"/>
      <c r="E7" s="15"/>
      <c r="F7" s="58" t="s">
        <v>90</v>
      </c>
      <c r="G7"/>
      <c r="H7" s="16"/>
      <c r="T7" s="1" t="s">
        <v>13</v>
      </c>
    </row>
    <row r="8" spans="2:22" x14ac:dyDescent="0.25">
      <c r="B8" s="14"/>
      <c r="C8" s="23" t="s">
        <v>30</v>
      </c>
      <c r="D8" s="23" t="s">
        <v>23</v>
      </c>
      <c r="E8" s="6"/>
      <c r="F8" s="130" t="s">
        <v>198</v>
      </c>
      <c r="G8" s="115"/>
      <c r="H8" s="16"/>
      <c r="T8" s="1" t="s">
        <v>14</v>
      </c>
    </row>
    <row r="9" spans="2:22" x14ac:dyDescent="0.25">
      <c r="B9" s="14"/>
      <c r="C9" s="20" t="s">
        <v>71</v>
      </c>
      <c r="D9" s="78" t="s">
        <v>12</v>
      </c>
      <c r="E9" s="6"/>
      <c r="F9" s="116"/>
      <c r="G9" s="118"/>
      <c r="H9" s="16"/>
    </row>
    <row r="10" spans="2:22" x14ac:dyDescent="0.25">
      <c r="B10" s="14"/>
      <c r="C10" s="20" t="s">
        <v>187</v>
      </c>
      <c r="D10" s="78" t="s">
        <v>13</v>
      </c>
      <c r="E10" s="6"/>
      <c r="F10" s="119"/>
      <c r="G10" s="121"/>
      <c r="H10" s="16"/>
    </row>
    <row r="11" spans="2:22" ht="15.75" thickBot="1" x14ac:dyDescent="0.3">
      <c r="B11" s="17"/>
      <c r="C11" s="18"/>
      <c r="D11" s="18"/>
      <c r="E11" s="18"/>
      <c r="F11" s="18"/>
      <c r="G11" s="18"/>
      <c r="H11" s="19"/>
    </row>
  </sheetData>
  <sheetProtection algorithmName="SHA-512" hashValue="5qujBfQQ7RZMhSfW3LqfxXxVuPd8KbOJQKh15P8GKG8cOXsJPu3apxq/6MgUYGlAEizpvLIU3x8ux0MZK7Zg3A==" saltValue="jV6bSp1iEYBcnSzTRXO6Og==" spinCount="100000" sheet="1" objects="1" scenarios="1"/>
  <mergeCells count="2">
    <mergeCell ref="C6:D6"/>
    <mergeCell ref="F8:G10"/>
  </mergeCells>
  <conditionalFormatting sqref="D9">
    <cfRule type="containsBlanks" dxfId="5" priority="3">
      <formula>LEN(TRIM(D9))=0</formula>
    </cfRule>
  </conditionalFormatting>
  <conditionalFormatting sqref="F8">
    <cfRule type="containsBlanks" dxfId="4" priority="2">
      <formula>LEN(TRIM(F8))=0</formula>
    </cfRule>
  </conditionalFormatting>
  <conditionalFormatting sqref="D10">
    <cfRule type="containsBlanks" dxfId="3" priority="1">
      <formula>LEN(TRIM(D10))=0</formula>
    </cfRule>
  </conditionalFormatting>
  <dataValidations xWindow="514" yWindow="409" count="2">
    <dataValidation type="list" showInputMessage="1" showErrorMessage="1" promptTitle="Gestiona o No Pagos" prompt="Indique si su entidad Gestiona o No pagos o reliza Informes a traves de SIIF" sqref="D9">
      <formula1>$T$6:$T$7</formula1>
    </dataValidation>
    <dataValidation type="list" showInputMessage="1" showErrorMessage="1" promptTitle="Uso del Modulo de Pagos" prompt="Indique si su entidad Gestiona o No pagos o reliza Informes a traves de SIIF" sqref="D1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2:M28"/>
  <sheetViews>
    <sheetView showGridLines="0" tabSelected="1" zoomScale="85" zoomScaleNormal="85" workbookViewId="0">
      <selection activeCell="L13" sqref="L13"/>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37" t="s">
        <v>10</v>
      </c>
      <c r="C2" s="137"/>
      <c r="D2" s="137"/>
      <c r="E2" s="137"/>
      <c r="F2" s="137"/>
      <c r="G2" s="137"/>
      <c r="H2" s="46"/>
      <c r="I2" s="46"/>
      <c r="J2" s="46"/>
      <c r="K2" s="46"/>
      <c r="L2" s="46"/>
      <c r="M2" s="47"/>
    </row>
    <row r="3" spans="2:13" ht="18.75" x14ac:dyDescent="0.3">
      <c r="B3" s="137" t="s">
        <v>11</v>
      </c>
      <c r="C3" s="137"/>
      <c r="D3" s="137"/>
      <c r="E3" s="137"/>
      <c r="F3" s="137"/>
      <c r="G3" s="137"/>
      <c r="H3" s="46"/>
      <c r="I3" s="46"/>
      <c r="J3" s="46"/>
      <c r="K3" s="46"/>
      <c r="L3" s="46"/>
      <c r="M3" s="47"/>
    </row>
    <row r="4" spans="2:13" ht="24" thickBot="1" x14ac:dyDescent="0.4">
      <c r="B4" s="41"/>
      <c r="C4" s="90"/>
      <c r="D4" s="90" t="s">
        <v>177</v>
      </c>
      <c r="E4" s="41"/>
      <c r="F4" s="41"/>
      <c r="G4" s="41"/>
      <c r="H4" s="41"/>
      <c r="I4" s="41"/>
      <c r="J4" s="41"/>
      <c r="K4" s="41"/>
      <c r="L4" s="41"/>
      <c r="M4" s="41"/>
    </row>
    <row r="5" spans="2:13" ht="15.75" thickBot="1" x14ac:dyDescent="0.3">
      <c r="B5" t="s">
        <v>182</v>
      </c>
      <c r="C5" s="131" t="s">
        <v>201</v>
      </c>
      <c r="D5" s="132"/>
      <c r="E5" s="132"/>
      <c r="F5" s="132"/>
      <c r="G5" s="133"/>
      <c r="H5" s="6"/>
      <c r="I5" s="6"/>
      <c r="J5" s="6"/>
    </row>
    <row r="6" spans="2:13" ht="15.75" thickBot="1" x14ac:dyDescent="0.3">
      <c r="B6" t="s">
        <v>183</v>
      </c>
      <c r="C6" s="134" t="s">
        <v>202</v>
      </c>
      <c r="D6" s="135"/>
      <c r="E6" s="135"/>
      <c r="F6" s="135"/>
      <c r="G6" s="136"/>
      <c r="H6" s="45"/>
      <c r="I6" s="45"/>
      <c r="J6" s="45"/>
    </row>
    <row r="7" spans="2:13" x14ac:dyDescent="0.25">
      <c r="H7" s="6"/>
      <c r="I7" s="6"/>
      <c r="J7" s="6"/>
    </row>
    <row r="8" spans="2:13" x14ac:dyDescent="0.25">
      <c r="B8" t="s">
        <v>37</v>
      </c>
      <c r="C8" s="44" t="str">
        <f>+IF(SUM(USUARIOS!I12:J17)=0,"Falta diligenciar","")</f>
        <v/>
      </c>
      <c r="E8" t="s">
        <v>74</v>
      </c>
      <c r="F8" s="44" t="str">
        <f>+IF(PREJUDICIALES!$D$10="","Falta  actualizar","")</f>
        <v/>
      </c>
    </row>
    <row r="9" spans="2:13" x14ac:dyDescent="0.25">
      <c r="B9" s="43" t="s">
        <v>40</v>
      </c>
      <c r="C9" s="88">
        <f>+SUM(USUARIOS!I12:I17)/(6-SUM(USUARIOS!H12:H17))</f>
        <v>1</v>
      </c>
      <c r="E9" s="43" t="s">
        <v>45</v>
      </c>
      <c r="F9" s="87">
        <f>+PREJUDICIALES!$D$11</f>
        <v>3</v>
      </c>
    </row>
    <row r="10" spans="2:13" x14ac:dyDescent="0.25">
      <c r="B10" s="43" t="s">
        <v>38</v>
      </c>
      <c r="C10" s="87">
        <f>+ABOGADOS!$D$12+SUM(USUARIOS!I12:I17)</f>
        <v>26</v>
      </c>
      <c r="E10" s="43" t="s">
        <v>43</v>
      </c>
      <c r="F10" s="88">
        <f>IFERROR(PREJUDICIALES!$D$11/PREJUDICIALES!$D$10,"")</f>
        <v>1.5</v>
      </c>
    </row>
    <row r="11" spans="2:13" x14ac:dyDescent="0.25">
      <c r="B11" s="43" t="s">
        <v>9</v>
      </c>
      <c r="C11" s="87" t="s">
        <v>104</v>
      </c>
      <c r="E11" s="43" t="s">
        <v>46</v>
      </c>
      <c r="F11" s="88" t="str">
        <f>IFERROR(PREJUDICIALES!$G$13/PREJUDICIALES!$V$3,"")</f>
        <v/>
      </c>
    </row>
    <row r="12" spans="2:13" x14ac:dyDescent="0.25">
      <c r="B12" s="43" t="s">
        <v>39</v>
      </c>
      <c r="C12" s="88">
        <f>IFERROR((ABOGADOS!$G$17+ABOGADOS!$G$18+ABOGADOS!$G$19*0.5)/ABOGADOS!D12,"")</f>
        <v>2.4249999999999998</v>
      </c>
    </row>
    <row r="13" spans="2:13" x14ac:dyDescent="0.25">
      <c r="E13" t="s">
        <v>67</v>
      </c>
      <c r="F13" s="44" t="str">
        <f>+IF(ARBITRAMENTOS!T17=0,"Falta  actualizar","")</f>
        <v/>
      </c>
    </row>
    <row r="14" spans="2:13" x14ac:dyDescent="0.25">
      <c r="B14" t="s">
        <v>73</v>
      </c>
      <c r="C14" s="44" t="str">
        <f>+IF(JUDICIALES!$D$11="","Falta  actualizar","")</f>
        <v/>
      </c>
      <c r="E14" s="43" t="s">
        <v>44</v>
      </c>
      <c r="F14" s="87">
        <f>+ARBITRAMENTOS!D10</f>
        <v>0</v>
      </c>
    </row>
    <row r="15" spans="2:13" x14ac:dyDescent="0.25">
      <c r="B15" s="43" t="s">
        <v>41</v>
      </c>
      <c r="C15" s="87">
        <f>+JUDICIALES!$D$12</f>
        <v>686</v>
      </c>
      <c r="E15" s="43" t="s">
        <v>43</v>
      </c>
      <c r="F15" s="88" t="str">
        <f>IFERROR(ARBITRAMENTOS!D10/ARBITRAMENTOS!D9,"")</f>
        <v/>
      </c>
    </row>
    <row r="16" spans="2:13" x14ac:dyDescent="0.25">
      <c r="B16" s="43" t="s">
        <v>43</v>
      </c>
      <c r="C16" s="88">
        <f>IFERROR(JUDICIALES!$D$12/JUDICIALES!$D$11,"")</f>
        <v>1</v>
      </c>
    </row>
    <row r="17" spans="2:6" x14ac:dyDescent="0.25">
      <c r="B17" s="43" t="s">
        <v>47</v>
      </c>
      <c r="C17" s="88">
        <f>IFERROR(JUDICIALES!$G$11/JUDICIALES!$G$10,"")</f>
        <v>1</v>
      </c>
      <c r="E17" t="s">
        <v>70</v>
      </c>
      <c r="F17" s="44" t="str">
        <f>+IF(PAGOS!D9="","Falta  actualizar","")</f>
        <v/>
      </c>
    </row>
    <row r="18" spans="2:6" x14ac:dyDescent="0.25">
      <c r="B18" s="43" t="s">
        <v>42</v>
      </c>
      <c r="C18" s="87">
        <f>IFERROR(C15/ABOGADOS!$D$12,"")</f>
        <v>34.299999999999997</v>
      </c>
      <c r="E18" s="43" t="s">
        <v>185</v>
      </c>
      <c r="F18" s="87" t="str">
        <f>+IF(PAGOS!D10="No","No","Si")</f>
        <v>No</v>
      </c>
    </row>
    <row r="19" spans="2:6" x14ac:dyDescent="0.25">
      <c r="B19" s="43" t="s">
        <v>72</v>
      </c>
      <c r="C19" s="88">
        <f>IFERROR(1-(JUDICIALES!$H$22+JUDICIALES!$H$23+JUDICIALES!$H$24)/(JUDICIALES!$G$22+JUDICIALES!$G$23+JUDICIALES!$G$24),"")</f>
        <v>1</v>
      </c>
      <c r="E19" s="43" t="s">
        <v>181</v>
      </c>
      <c r="F19" s="87" t="str">
        <f>+IF(PAGOS!D9="No","No aplica","Si")</f>
        <v>Si</v>
      </c>
    </row>
    <row r="21" spans="2:6" ht="15.75" thickBot="1" x14ac:dyDescent="0.3"/>
    <row r="22" spans="2:6" x14ac:dyDescent="0.25">
      <c r="B22" s="2" t="s">
        <v>90</v>
      </c>
      <c r="C22" s="3"/>
      <c r="D22" s="3"/>
      <c r="E22" s="3"/>
      <c r="F22" s="4"/>
    </row>
    <row r="23" spans="2:6" x14ac:dyDescent="0.25">
      <c r="B23" s="130" t="s">
        <v>203</v>
      </c>
      <c r="C23" s="114"/>
      <c r="D23" s="114"/>
      <c r="E23" s="114"/>
      <c r="F23" s="115"/>
    </row>
    <row r="24" spans="2:6" x14ac:dyDescent="0.25">
      <c r="B24" s="116"/>
      <c r="C24" s="117"/>
      <c r="D24" s="117"/>
      <c r="E24" s="117"/>
      <c r="F24" s="118"/>
    </row>
    <row r="25" spans="2:6" x14ac:dyDescent="0.25">
      <c r="B25" s="116"/>
      <c r="C25" s="117"/>
      <c r="D25" s="117"/>
      <c r="E25" s="117"/>
      <c r="F25" s="118"/>
    </row>
    <row r="26" spans="2:6" x14ac:dyDescent="0.25">
      <c r="B26" s="119"/>
      <c r="C26" s="120"/>
      <c r="D26" s="120"/>
      <c r="E26" s="120"/>
      <c r="F26" s="121"/>
    </row>
    <row r="27" spans="2:6" x14ac:dyDescent="0.25">
      <c r="B27" t="s">
        <v>176</v>
      </c>
    </row>
    <row r="28" spans="2:6" x14ac:dyDescent="0.25">
      <c r="B28" t="s">
        <v>184</v>
      </c>
    </row>
  </sheetData>
  <sheetProtection algorithmName="SHA-512" hashValue="MI9IAg9m6njNGmuBCGKgMta3QjAcMvvvmQcsk91qXfKK89k6AsSUy+qvJRfgCqbJjnNMaffzwJpEaNlzAWfS9g==" saltValue="KYBE4UEMNlJg3uLSyGLznw==" spinCount="100000" sheet="1" objects="1" scenarios="1"/>
  <mergeCells count="5">
    <mergeCell ref="C5:G5"/>
    <mergeCell ref="C6:G6"/>
    <mergeCell ref="B2:G2"/>
    <mergeCell ref="B3:G3"/>
    <mergeCell ref="B23:F26"/>
  </mergeCells>
  <conditionalFormatting sqref="B23">
    <cfRule type="containsBlanks" dxfId="2" priority="3">
      <formula>LEN(TRIM(B23))=0</formula>
    </cfRule>
  </conditionalFormatting>
  <conditionalFormatting sqref="C5">
    <cfRule type="containsBlanks" dxfId="1" priority="2">
      <formula>LEN(TRIM(C5))=0</formula>
    </cfRule>
  </conditionalFormatting>
  <conditionalFormatting sqref="C6">
    <cfRule type="containsBlanks" dxfId="0" priority="1">
      <formula>LEN(TRIM(C6))=0</formula>
    </cfRule>
  </conditionalFormatting>
  <dataValidations count="2">
    <dataValidation allowBlank="1" showInputMessage="1" showErrorMessage="1" promptTitle="Nombres y Apellidos" prompt="Diligencie los nombres y apellidos del jefe de control interno que esta reportando" sqref="C6:G6"/>
    <dataValidation allowBlank="1" showInputMessage="1" showErrorMessage="1" promptTitle="Nombre entidad que reporta" prompt="Diligenciar Nombre de entidad" sqref="C5:G5"/>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2:BO18"/>
  <sheetViews>
    <sheetView zoomScaleNormal="100" workbookViewId="0">
      <selection activeCell="A3" sqref="A3"/>
    </sheetView>
  </sheetViews>
  <sheetFormatPr baseColWidth="10" defaultColWidth="10.7109375" defaultRowHeight="15" x14ac:dyDescent="0.25"/>
  <cols>
    <col min="1" max="1" width="34.5703125" style="69" customWidth="1"/>
    <col min="2" max="2" width="29.5703125" style="69" customWidth="1"/>
    <col min="3" max="16384" width="10.7109375" style="69"/>
  </cols>
  <sheetData>
    <row r="2" spans="1:67" x14ac:dyDescent="0.25">
      <c r="A2" s="72" t="s">
        <v>36</v>
      </c>
      <c r="B2" s="72" t="s">
        <v>108</v>
      </c>
      <c r="C2" s="72" t="s">
        <v>21</v>
      </c>
      <c r="D2" s="72" t="s">
        <v>22</v>
      </c>
      <c r="E2" s="72" t="s">
        <v>26</v>
      </c>
      <c r="F2" s="72" t="s">
        <v>20</v>
      </c>
      <c r="G2" s="72" t="s">
        <v>97</v>
      </c>
      <c r="H2" s="73" t="s">
        <v>98</v>
      </c>
      <c r="I2" s="74" t="s">
        <v>109</v>
      </c>
      <c r="J2" s="74" t="s">
        <v>110</v>
      </c>
      <c r="K2" s="74" t="s">
        <v>111</v>
      </c>
      <c r="L2" s="74" t="s">
        <v>112</v>
      </c>
      <c r="M2" s="74" t="s">
        <v>113</v>
      </c>
      <c r="N2" s="74" t="s">
        <v>114</v>
      </c>
      <c r="O2" s="74" t="s">
        <v>115</v>
      </c>
      <c r="P2" s="72" t="s">
        <v>27</v>
      </c>
      <c r="Q2" s="72" t="s">
        <v>28</v>
      </c>
      <c r="R2" s="72" t="s">
        <v>29</v>
      </c>
      <c r="S2" s="72" t="s">
        <v>116</v>
      </c>
      <c r="T2" s="72" t="s">
        <v>117</v>
      </c>
      <c r="U2" s="72" t="s">
        <v>35</v>
      </c>
      <c r="V2" s="72" t="s">
        <v>118</v>
      </c>
      <c r="W2" s="72" t="s">
        <v>81</v>
      </c>
      <c r="X2" s="72" t="s">
        <v>82</v>
      </c>
      <c r="Y2" s="72" t="s">
        <v>83</v>
      </c>
      <c r="Z2" s="72" t="s">
        <v>84</v>
      </c>
      <c r="AA2" s="72" t="s">
        <v>85</v>
      </c>
      <c r="AB2" s="74" t="s">
        <v>119</v>
      </c>
      <c r="AC2" s="74" t="s">
        <v>120</v>
      </c>
      <c r="AD2" s="74" t="s">
        <v>121</v>
      </c>
      <c r="AE2" s="72" t="s">
        <v>33</v>
      </c>
      <c r="AF2" s="72" t="s">
        <v>58</v>
      </c>
      <c r="AG2" s="72" t="s">
        <v>59</v>
      </c>
      <c r="AH2" s="72" t="s">
        <v>34</v>
      </c>
      <c r="AI2" s="72" t="s">
        <v>122</v>
      </c>
      <c r="AJ2" s="72" t="s">
        <v>123</v>
      </c>
      <c r="AK2" s="72" t="s">
        <v>124</v>
      </c>
      <c r="AL2" s="72" t="s">
        <v>125</v>
      </c>
      <c r="AM2" s="72" t="s">
        <v>126</v>
      </c>
      <c r="AN2" s="72" t="s">
        <v>127</v>
      </c>
      <c r="AO2" s="72" t="s">
        <v>128</v>
      </c>
      <c r="AP2" s="72" t="s">
        <v>129</v>
      </c>
      <c r="AQ2" s="75" t="s">
        <v>51</v>
      </c>
      <c r="AR2" s="75" t="s">
        <v>52</v>
      </c>
      <c r="AS2" s="75" t="s">
        <v>48</v>
      </c>
      <c r="AT2" s="75" t="s">
        <v>49</v>
      </c>
      <c r="AU2" s="75" t="s">
        <v>50</v>
      </c>
      <c r="AV2" s="75" t="s">
        <v>53</v>
      </c>
      <c r="AW2" s="75" t="s">
        <v>66</v>
      </c>
      <c r="AX2" s="75" t="s">
        <v>55</v>
      </c>
      <c r="AY2" s="75" t="s">
        <v>56</v>
      </c>
      <c r="AZ2" s="75" t="s">
        <v>68</v>
      </c>
      <c r="BA2" s="75" t="s">
        <v>69</v>
      </c>
      <c r="BB2" s="76" t="s">
        <v>130</v>
      </c>
      <c r="BC2" s="76" t="s">
        <v>86</v>
      </c>
      <c r="BD2" s="77" t="s">
        <v>131</v>
      </c>
      <c r="BE2" s="77" t="s">
        <v>132</v>
      </c>
      <c r="BF2" s="77" t="s">
        <v>133</v>
      </c>
      <c r="BG2" s="77" t="s">
        <v>134</v>
      </c>
      <c r="BH2" s="77" t="s">
        <v>135</v>
      </c>
      <c r="BI2" s="77" t="s">
        <v>136</v>
      </c>
      <c r="BJ2" s="77" t="s">
        <v>137</v>
      </c>
      <c r="BK2" s="77" t="s">
        <v>138</v>
      </c>
      <c r="BL2" s="77" t="s">
        <v>139</v>
      </c>
      <c r="BM2" s="77" t="s">
        <v>140</v>
      </c>
      <c r="BN2" s="77" t="s">
        <v>141</v>
      </c>
      <c r="BO2" s="77" t="s">
        <v>142</v>
      </c>
    </row>
    <row r="3" spans="1:67" x14ac:dyDescent="0.25">
      <c r="A3" s="69" t="str">
        <f>'Resumen General'!C5</f>
        <v>MINISTERIO DE VIVIENDA, CIUDAD  Y TERRITORIO</v>
      </c>
      <c r="B3" s="69" t="str">
        <f>'Resumen General'!C6</f>
        <v>Olga Yaneth Aragón Sánchez</v>
      </c>
      <c r="C3" s="69">
        <f>+ABOGADOS!D11</f>
        <v>20</v>
      </c>
      <c r="D3" s="69">
        <f>+ABOGADOS!D12</f>
        <v>20</v>
      </c>
      <c r="E3" s="69">
        <f>+ABOGADOS!D13</f>
        <v>20</v>
      </c>
      <c r="F3" s="69">
        <f>+ABOGADOS!D14</f>
        <v>0</v>
      </c>
      <c r="G3" s="69">
        <f>+ABOGADOS!D17</f>
        <v>3</v>
      </c>
      <c r="H3" s="69">
        <f>+ABOGADOS!D18</f>
        <v>3</v>
      </c>
      <c r="I3" s="69">
        <f>+ABOGADOS!G10</f>
        <v>10</v>
      </c>
      <c r="J3" s="69">
        <f>+ABOGADOS!G11</f>
        <v>10</v>
      </c>
      <c r="K3" s="69">
        <f>+ABOGADOS!G12</f>
        <v>10</v>
      </c>
      <c r="L3" s="69">
        <f>+ABOGADOS!G17</f>
        <v>20</v>
      </c>
      <c r="M3" s="69">
        <f>+ABOGADOS!G18</f>
        <v>19</v>
      </c>
      <c r="N3" s="69">
        <f>+ABOGADOS!G19</f>
        <v>19</v>
      </c>
      <c r="O3" s="69">
        <f>+ABOGADOS!G20</f>
        <v>0</v>
      </c>
      <c r="P3" s="69">
        <f>+JUDICIALES!D11</f>
        <v>686</v>
      </c>
      <c r="Q3" s="69">
        <f>+JUDICIALES!D12</f>
        <v>686</v>
      </c>
      <c r="R3" s="69">
        <f>+JUDICIALES!D13</f>
        <v>1</v>
      </c>
      <c r="S3" s="69">
        <f>+JUDICIALES!D16</f>
        <v>13</v>
      </c>
      <c r="T3" s="69">
        <f>+JUDICIALES!D17</f>
        <v>13</v>
      </c>
      <c r="U3" s="69">
        <f>+JUDICIALES!D21</f>
        <v>742</v>
      </c>
      <c r="V3" s="69">
        <f>+JUDICIALES!D22</f>
        <v>54</v>
      </c>
      <c r="W3" s="69">
        <f>JUDICIALES!D28</f>
        <v>10</v>
      </c>
      <c r="X3" s="69">
        <f>JUDICIALES!D29</f>
        <v>6</v>
      </c>
      <c r="Y3" s="69">
        <f>JUDICIALES!D30</f>
        <v>0</v>
      </c>
      <c r="Z3" s="69">
        <f>JUDICIALES!D31</f>
        <v>0</v>
      </c>
      <c r="AA3" s="69">
        <f>JUDICIALES!D32</f>
        <v>0</v>
      </c>
      <c r="AB3" s="69">
        <f>+JUDICIALES!G9</f>
        <v>14</v>
      </c>
      <c r="AC3" s="69">
        <f>+JUDICIALES!G10</f>
        <v>14</v>
      </c>
      <c r="AD3" s="69">
        <f>+JUDICIALES!G11</f>
        <v>14</v>
      </c>
      <c r="AE3" s="69">
        <f>+JUDICIALES!G15</f>
        <v>559</v>
      </c>
      <c r="AF3" s="69">
        <f>+JUDICIALES!G16</f>
        <v>552</v>
      </c>
      <c r="AG3" s="69">
        <f>+JUDICIALES!G17</f>
        <v>0</v>
      </c>
      <c r="AH3" s="69">
        <f>+JUDICIALES!G18</f>
        <v>7</v>
      </c>
      <c r="AI3" s="69">
        <f>+JUDICIALES!G21</f>
        <v>34</v>
      </c>
      <c r="AJ3" s="69">
        <f>+JUDICIALES!G22</f>
        <v>135</v>
      </c>
      <c r="AK3" s="69">
        <f>+JUDICIALES!G23</f>
        <v>40</v>
      </c>
      <c r="AL3" s="69">
        <f>+JUDICIALES!G24</f>
        <v>343</v>
      </c>
      <c r="AM3" s="69">
        <f>+JUDICIALES!H21</f>
        <v>20</v>
      </c>
      <c r="AN3" s="69">
        <f>+JUDICIALES!H22</f>
        <v>0</v>
      </c>
      <c r="AO3" s="69">
        <f>+JUDICIALES!H23</f>
        <v>0</v>
      </c>
      <c r="AP3" s="69">
        <f>+JUDICIALES!H24</f>
        <v>0</v>
      </c>
      <c r="AQ3" s="69">
        <f>+PREJUDICIALES!D10</f>
        <v>2</v>
      </c>
      <c r="AR3" s="69">
        <f>+PREJUDICIALES!D11</f>
        <v>3</v>
      </c>
      <c r="AS3" s="69">
        <f>+PREJUDICIALES!D12</f>
        <v>3</v>
      </c>
      <c r="AT3" s="69">
        <f>+PREJUDICIALES!D13</f>
        <v>0</v>
      </c>
      <c r="AU3" s="69">
        <f>+PREJUDICIALES!D14</f>
        <v>0</v>
      </c>
      <c r="AV3" s="69">
        <f>+PREJUDICIALES!D17</f>
        <v>17</v>
      </c>
      <c r="AW3" s="69">
        <f>+PREJUDICIALES!D18</f>
        <v>17</v>
      </c>
      <c r="AX3" s="69">
        <f>+PREJUDICIALES!G12</f>
        <v>0</v>
      </c>
      <c r="AY3" s="69">
        <f>+PREJUDICIALES!G13</f>
        <v>0</v>
      </c>
      <c r="AZ3" s="69">
        <f>+ARBITRAMENTOS!D9</f>
        <v>0</v>
      </c>
      <c r="BA3" s="69">
        <f>+ARBITRAMENTOS!D10</f>
        <v>0</v>
      </c>
      <c r="BB3" s="69">
        <f>ARBITRAMENTOS!G9</f>
        <v>1</v>
      </c>
      <c r="BC3" s="69">
        <f>ARBITRAMENTOS!G10</f>
        <v>1</v>
      </c>
      <c r="BD3" s="69" t="str">
        <f>+PAGOS!D9</f>
        <v>Si</v>
      </c>
      <c r="BE3" s="69" t="str">
        <f>+PAGOS!D10</f>
        <v>No</v>
      </c>
      <c r="BF3" s="70">
        <f>USUARIOS!D9</f>
        <v>44799</v>
      </c>
      <c r="BG3" s="70">
        <f>ABOGADOS!D7</f>
        <v>44799</v>
      </c>
      <c r="BH3" s="70">
        <f>JUDICIALES!D8</f>
        <v>44799</v>
      </c>
      <c r="BI3" s="69" t="str">
        <f>+USUARIOS!C19</f>
        <v>Hubo actualizacion de los perfiles de Jefe Financiero, Jefe Juridico y Secretario Tecnico,  al igual Se anexan en formato word los pantallazos de las capacitaciones 
realilzadas a  cada uno de los Roles descritos.</v>
      </c>
      <c r="BJ3" s="69" t="str">
        <f>+ABOGADOS!C22</f>
        <v>Se anexa  en formato word los pantallazos de  capacitacion realizada el 6-4-2022 a los abogados de la entidad</v>
      </c>
      <c r="BK3" s="69" t="str">
        <f>+JUDICIALES!F28</f>
        <v>Proceso sin asignacion se estaba esperando la notificacion de la admision del mismo, Se encuentran 7 
procesos sin calificar 1 sin asignacion a corte de junio, y 6 los cuales ya se encontraban con asignacion de 
apoderado, pero que se encuentran en terminos para contestar antes del  30 de Junio, por consiguiente aun no se habia hecho la respectiva calificacion de riesgo</v>
      </c>
      <c r="BL3" s="69" t="str">
        <f>+PREJUDICIALES!F17</f>
        <v>Se evidencia 1 proceso prejudicial activo registrado a finales de febrero de 2022, 
sin embargo a la entidad no se ha allegado ni la conciliacion extrajudicial ni la
fecha de audiencia de conciliacion, por ende, despues de los 6 meses desde que se registra, se procederá a cerrar el caso</v>
      </c>
      <c r="BM3" s="69" t="str">
        <f>+ARBITRAMENTOS!C13</f>
        <v>Para el primer semestre del 2022 no se radicaron procesos arbitrales ante la entidad</v>
      </c>
      <c r="BN3" s="69" t="str">
        <f>+PAGOS!F8</f>
        <v>Para el 1 semestre de 2022, la entidad ha generado 1 pago por el siif 
sin embargo aun no se ha cargado la informacion del pago por parte
de minhacienda y asi poder gestionar la informacion</v>
      </c>
      <c r="BO3" s="69" t="str">
        <f>'Resumen General'!B23</f>
        <v xml:space="preserve">Continuar con la implementación de las acciones de mejora o correctivas establecidas en el plan de mejoramiento del MVCT suscrito con la Contraloría General de la República, frente a los hallazgos cuya responsabilidad corresponde a la OAJ, a fin de mantener actualizada con oportunidad y calidad la información en el e-KOGUI 2.0.   
Mantener permanentemente actualizado el Sistema Único de Gestión e Información Litigiosa del Estado –e- KOGUI, con respecto a la actualización de la información que debe registrarse acerca de los perfiles de los abogados activos de la Entidad que ejercen la defensa judicial, así como la actualización del módulo de pagos.  
Asegurar la actualización oportuna de la información de los procesos cargados en el sistema eKOGUI, en relación con la información contenida en la matriz “PJC-F-01 Base de Datos de Información de Procesos Judiciales 7.0” por la OAJ.  </v>
      </c>
    </row>
    <row r="12" spans="1:67" x14ac:dyDescent="0.25">
      <c r="A12" s="69" t="s">
        <v>36</v>
      </c>
      <c r="B12" s="69" t="s">
        <v>15</v>
      </c>
      <c r="C12" s="72" t="s">
        <v>16</v>
      </c>
      <c r="D12" s="72" t="s">
        <v>6</v>
      </c>
      <c r="E12" s="72" t="s">
        <v>7</v>
      </c>
      <c r="F12" s="72" t="s">
        <v>17</v>
      </c>
      <c r="G12" s="72" t="s">
        <v>76</v>
      </c>
    </row>
    <row r="13" spans="1:67" x14ac:dyDescent="0.25">
      <c r="A13" s="69" t="str">
        <f t="shared" ref="A13:A18" si="0">$A$3</f>
        <v>MINISTERIO DE VIVIENDA, CIUDAD  Y TERRITORIO</v>
      </c>
      <c r="B13" s="69" t="s">
        <v>0</v>
      </c>
      <c r="C13" s="69" t="str">
        <f>USUARIOS!C12</f>
        <v>Si</v>
      </c>
      <c r="D13" s="71">
        <f>USUARIOS!D12</f>
        <v>44433</v>
      </c>
      <c r="E13" s="69" t="str">
        <f>USUARIOS!E12</f>
        <v>JORGE ALBERTO MORENO VILLAREAL</v>
      </c>
      <c r="F13" s="71">
        <f>USUARIOS!F12</f>
        <v>44631</v>
      </c>
      <c r="G13" s="69" t="str">
        <f>USUARIOS!G12</f>
        <v/>
      </c>
    </row>
    <row r="14" spans="1:67" x14ac:dyDescent="0.25">
      <c r="A14" s="69" t="str">
        <f t="shared" si="0"/>
        <v>MINISTERIO DE VIVIENDA, CIUDAD  Y TERRITORIO</v>
      </c>
      <c r="B14" s="69" t="s">
        <v>1</v>
      </c>
      <c r="C14" s="69" t="str">
        <f>USUARIOS!C13</f>
        <v>Si</v>
      </c>
      <c r="D14" s="71">
        <f>USUARIOS!D13</f>
        <v>44692</v>
      </c>
      <c r="E14" s="69" t="str">
        <f>USUARIOS!E13</f>
        <v>DIANA DEL CARMEN SANDOVAL</v>
      </c>
      <c r="F14" s="71">
        <f>USUARIOS!F13</f>
        <v>44645</v>
      </c>
      <c r="G14" s="69" t="str">
        <f>USUARIOS!G13</f>
        <v/>
      </c>
    </row>
    <row r="15" spans="1:67" x14ac:dyDescent="0.25">
      <c r="A15" s="69" t="str">
        <f t="shared" si="0"/>
        <v>MINISTERIO DE VIVIENDA, CIUDAD  Y TERRITORIO</v>
      </c>
      <c r="B15" s="69" t="s">
        <v>2</v>
      </c>
      <c r="C15" s="69" t="str">
        <f>USUARIOS!C14</f>
        <v>Si</v>
      </c>
      <c r="D15" s="71">
        <f>USUARIOS!D14</f>
        <v>44058</v>
      </c>
      <c r="E15" s="69" t="str">
        <f>USUARIOS!E14</f>
        <v>SANTIAGO VELANDIA DAZA</v>
      </c>
      <c r="F15" s="71">
        <f>USUARIOS!F14</f>
        <v>44631</v>
      </c>
      <c r="G15" s="69" t="str">
        <f>USUARIOS!G14</f>
        <v/>
      </c>
    </row>
    <row r="16" spans="1:67" x14ac:dyDescent="0.25">
      <c r="A16" s="69" t="str">
        <f t="shared" si="0"/>
        <v>MINISTERIO DE VIVIENDA, CIUDAD  Y TERRITORIO</v>
      </c>
      <c r="B16" s="69" t="s">
        <v>3</v>
      </c>
      <c r="C16" s="69" t="str">
        <f>USUARIOS!C15</f>
        <v>Si</v>
      </c>
      <c r="D16" s="71">
        <f>USUARIOS!D15</f>
        <v>42801</v>
      </c>
      <c r="E16" s="69" t="str">
        <f>USUARIOS!E15</f>
        <v>OLGA YANETH ARAGON SANCHEZ</v>
      </c>
      <c r="F16" s="71">
        <f>USUARIOS!F15</f>
        <v>44587</v>
      </c>
      <c r="G16" s="69" t="str">
        <f>USUARIOS!G15</f>
        <v/>
      </c>
    </row>
    <row r="17" spans="1:7" x14ac:dyDescent="0.25">
      <c r="A17" s="69" t="str">
        <f t="shared" si="0"/>
        <v>MINISTERIO DE VIVIENDA, CIUDAD  Y TERRITORIO</v>
      </c>
      <c r="B17" s="69" t="s">
        <v>4</v>
      </c>
      <c r="C17" s="69" t="str">
        <f>USUARIOS!C16</f>
        <v>Si</v>
      </c>
      <c r="D17" s="71">
        <f>USUARIOS!D16</f>
        <v>44707</v>
      </c>
      <c r="E17" s="69" t="str">
        <f>USUARIOS!E16</f>
        <v>RODRIGO ANDRES BERNAL MONTERO</v>
      </c>
      <c r="F17" s="71">
        <f>USUARIOS!F16</f>
        <v>44638</v>
      </c>
      <c r="G17" s="69" t="str">
        <f>USUARIOS!G16</f>
        <v/>
      </c>
    </row>
    <row r="18" spans="1:7" x14ac:dyDescent="0.25">
      <c r="A18" s="69" t="str">
        <f t="shared" si="0"/>
        <v>MINISTERIO DE VIVIENDA, CIUDAD  Y TERRITORIO</v>
      </c>
      <c r="B18" s="69" t="s">
        <v>5</v>
      </c>
      <c r="C18" s="69" t="str">
        <f>USUARIOS!C17</f>
        <v>Si</v>
      </c>
      <c r="D18" s="71">
        <f>USUARIOS!D17</f>
        <v>42746</v>
      </c>
      <c r="E18" s="69" t="str">
        <f>USUARIOS!E17</f>
        <v>DIANA PATRICIA VILLAMIL BUITRAGO</v>
      </c>
      <c r="F18" s="71">
        <f>USUARIOS!F17</f>
        <v>44643</v>
      </c>
      <c r="G18" s="69"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linda</cp:lastModifiedBy>
  <dcterms:created xsi:type="dcterms:W3CDTF">2020-06-25T21:16:25Z</dcterms:created>
  <dcterms:modified xsi:type="dcterms:W3CDTF">2022-09-09T14:23:53Z</dcterms:modified>
</cp:coreProperties>
</file>