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66925"/>
  <mc:AlternateContent xmlns:mc="http://schemas.openxmlformats.org/markup-compatibility/2006">
    <mc:Choice Requires="x15">
      <x15ac:absPath xmlns:x15ac="http://schemas.microsoft.com/office/spreadsheetml/2010/11/ac" url="https://minviviendagovco-my.sharepoint.com/personal/bcheca_minvivienda_gov_co/Documents/CONTRATO MINVIVIENDA 2024/reunion e-kogui 14 marzo 2024/"/>
    </mc:Choice>
  </mc:AlternateContent>
  <xr:revisionPtr revIDLastSave="0" documentId="8_{170E5F3C-D226-46CE-8567-81BB7BD08622}" xr6:coauthVersionLast="47" xr6:coauthVersionMax="47" xr10:uidLastSave="{00000000-0000-0000-0000-000000000000}"/>
  <bookViews>
    <workbookView xWindow="-120" yWindow="-120" windowWidth="20730" windowHeight="11160" tabRatio="777" firstSheet="2"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<sst xmlns="http://schemas.openxmlformats.org/spreadsheetml/2006/main" count="755" uniqueCount="654">
  <si>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</si>
  <si>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</si>
  <si>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</si>
  <si>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</si>
  <si>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</si>
  <si>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</si>
  <si>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</si>
  <si>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</si>
  <si>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</si>
  <si>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</si>
  <si>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</si>
  <si>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</si>
  <si>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</si>
  <si>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</si>
  <si>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</si>
  <si>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</si>
  <si>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</si>
  <si>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</si>
  <si>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</si>
  <si>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</si>
  <si>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</si>
  <si>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</si>
  <si>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</si>
  <si>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</si>
  <si>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</si>
  <si>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</si>
  <si>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</si>
  <si>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</si>
  <si>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</si>
  <si>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</si>
  <si>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</si>
  <si>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</si>
  <si>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</si>
  <si>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</si>
  <si>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</si>
  <si>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</si>
  <si>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</si>
  <si>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</si>
  <si>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</si>
  <si>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</si>
  <si>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</si>
  <si>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</si>
  <si>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</si>
  <si>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</si>
  <si>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</si>
  <si>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</si>
  <si>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</si>
  <si>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</si>
  <si>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</si>
  <si>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</si>
  <si>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</si>
  <si>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</si>
  <si>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</si>
  <si>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</si>
  <si>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</si>
  <si>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</si>
  <si>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</si>
  <si>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</si>
  <si>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</si>
  <si>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</si>
  <si>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</si>
  <si>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</si>
  <si>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</si>
  <si>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</si>
  <si>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</si>
  <si>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</si>
  <si>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</si>
  <si>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</si>
  <si>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</si>
  <si>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</si>
  <si>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</si>
  <si>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</si>
  <si>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</si>
  <si>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</si>
  <si>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</si>
  <si>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</si>
  <si>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</si>
  <si>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</si>
  <si>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</si>
  <si>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</si>
  <si>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</si>
  <si>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</si>
  <si>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</si>
  <si>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</si>
  <si>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</si>
  <si>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</si>
  <si>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</si>
  <si>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</si>
  <si>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</si>
  <si>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</si>
  <si>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</si>
  <si>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</si>
  <si>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</si>
  <si>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</si>
  <si>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</si>
  <si>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</si>
  <si>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</si>
  <si>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</si>
  <si>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</si>
  <si>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</si>
  <si>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</si>
  <si>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</si>
  <si>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</si>
  <si>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</si>
  <si>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</si>
  <si>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</si>
  <si>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</si>
  <si>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</si>
  <si>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</si>
  <si>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</si>
  <si>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</si>
  <si>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</si>
  <si>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</si>
  <si>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</si>
  <si>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</si>
  <si>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</si>
  <si>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</si>
  <si>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</si>
  <si>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</si>
  <si>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</si>
  <si>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</si>
  <si>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</si>
  <si>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</si>
  <si>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</si>
  <si>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</si>
  <si>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</si>
  <si>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</si>
  <si>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</si>
  <si>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</si>
  <si>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</si>
  <si>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</si>
  <si>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</si>
  <si>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</si>
  <si>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</si>
  <si>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</si>
  <si>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</si>
  <si>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</si>
  <si>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</si>
  <si>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</si>
  <si>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</si>
  <si>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</si>
  <si>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</si>
  <si>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</si>
  <si>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</si>
  <si>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</si>
  <si>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</si>
  <si>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</si>
  <si>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</si>
  <si>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</si>
  <si>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</si>
  <si>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</si>
  <si>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</si>
  <si>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</si>
  <si>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</si>
  <si>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</si>
  <si>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</si>
  <si>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</si>
  <si>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</si>
  <si>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</si>
  <si>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</si>
  <si>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</si>
  <si>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</si>
  <si>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</si>
  <si>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</si>
  <si>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</si>
  <si>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</si>
  <si>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</si>
  <si>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</si>
  <si>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</si>
  <si>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</si>
  <si>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</si>
  <si>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</si>
  <si>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</si>
  <si>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</si>
  <si>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</si>
  <si>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</si>
  <si>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</si>
  <si>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</si>
  <si>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</si>
  <si>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</si>
  <si>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</si>
  <si>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</si>
  <si>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</si>
  <si>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</si>
  <si>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</si>
  <si>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</si>
  <si>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</si>
  <si>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</si>
  <si>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</si>
  <si>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</si>
  <si>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</si>
  <si>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</si>
  <si>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</si>
  <si>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</si>
  <si>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</si>
  <si>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</si>
  <si>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</si>
  <si>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</si>
  <si>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</si>
  <si>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</si>
  <si>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</si>
  <si>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</si>
  <si>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</si>
  <si>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</si>
  <si>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</si>
  <si>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</si>
  <si>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</si>
  <si>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</si>
  <si>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</si>
  <si>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</si>
  <si>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</si>
  <si>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</si>
  <si>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</si>
  <si>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</si>
  <si>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</si>
  <si>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</si>
  <si>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</si>
  <si>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</si>
  <si>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</si>
  <si>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</si>
  <si>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</si>
  <si>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</si>
  <si>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</si>
  <si>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</si>
  <si>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</si>
  <si>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</si>
  <si>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</si>
  <si>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</si>
  <si>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</si>
  <si>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</si>
  <si>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</si>
  <si>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</si>
  <si>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</si>
  <si>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</si>
  <si>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</si>
  <si>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</si>
  <si>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</si>
  <si>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</si>
  <si>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</si>
  <si>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</si>
  <si>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</si>
  <si>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</si>
  <si>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</si>
  <si>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</si>
  <si>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</si>
  <si>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</si>
  <si>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</si>
  <si>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</si>
  <si>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</si>
  <si>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</si>
  <si>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</si>
  <si>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</si>
  <si>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</si>
  <si>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</si>
  <si>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</si>
  <si>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</si>
  <si>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</si>
  <si>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</si>
  <si>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</si>
  <si>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</si>
  <si>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</si>
  <si>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</si>
  <si>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</si>
  <si>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</si>
  <si>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</si>
  <si>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</si>
  <si>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</si>
  <si>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</si>
  <si>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</si>
  <si>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</si>
  <si>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</si>
  <si>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</si>
  <si>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</si>
  <si>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</si>
  <si>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</si>
  <si>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</si>
  <si>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</si>
  <si>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</si>
  <si>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</si>
  <si>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</si>
  <si>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</si>
  <si>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</si>
  <si>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</si>
  <si>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</si>
  <si>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</si>
  <si>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</si>
  <si>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</si>
  <si>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</si>
  <si>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</si>
  <si>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</si>
  <si>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</si>
  <si>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</si>
  <si>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</si>
  <si>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</si>
  <si>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</si>
  <si>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</si>
  <si>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</si>
  <si>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</si>
  <si>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</si>
  <si>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</si>
  <si>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</si>
  <si>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</si>
  <si>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</si>
  <si>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</si>
  <si>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</si>
  <si>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</si>
  <si>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</si>
  <si>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</si>
  <si>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</si>
  <si>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</si>
  <si>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</si>
  <si>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</si>
  <si>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</si>
  <si>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</si>
  <si>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</si>
  <si>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</si>
  <si>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</si>
  <si>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</si>
  <si>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</si>
  <si>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</si>
  <si>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</si>
  <si>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</si>
  <si>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</si>
  <si>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</si>
  <si>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</si>
  <si>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</si>
  <si>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</si>
  <si>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</si>
  <si>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</si>
  <si>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</si>
  <si>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</si>
  <si>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</si>
  <si>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</si>
  <si>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</si>
  <si>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</si>
  <si>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</si>
  <si>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</si>
  <si>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</si>
  <si>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</si>
  <si>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</si>
  <si>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</si>
  <si>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</si>
  <si>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</si>
  <si>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</si>
  <si>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</si>
  <si>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</si>
  <si>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</si>
  <si>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</si>
  <si>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</si>
  <si>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</si>
  <si>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</si>
  <si>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</si>
  <si>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</si>
  <si>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</si>
  <si>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</si>
  <si>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</si>
  <si>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</si>
  <si>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</si>
  <si>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</si>
  <si>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</si>
  <si>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</si>
  <si>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</si>
  <si>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</si>
  <si>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</si>
  <si>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</si>
  <si>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</si>
  <si>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</si>
  <si>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</si>
  <si>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</si>
  <si>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</si>
  <si>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</si>
  <si>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</si>
  <si>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</si>
  <si>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</si>
  <si>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</si>
  <si>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</si>
  <si>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</si>
  <si>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</si>
  <si>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</si>
  <si>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</si>
  <si>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</si>
  <si>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</si>
  <si>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</si>
  <si>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</si>
  <si>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</si>
  <si>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</si>
  <si>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</si>
  <si>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</si>
  <si>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</si>
  <si>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</si>
  <si>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</si>
  <si>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</si>
  <si>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</si>
  <si>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</si>
  <si>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</si>
  <si>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</si>
  <si>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</si>
  <si>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</si>
  <si>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</si>
  <si>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</si>
  <si>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</si>
  <si>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</si>
  <si>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</si>
  <si>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</si>
  <si>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</si>
  <si>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</si>
  <si>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</si>
  <si>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</si>
  <si>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</si>
  <si>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</si>
  <si>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</si>
  <si>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</si>
  <si>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</si>
  <si>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</si>
  <si>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</si>
  <si>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</si>
  <si>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</si>
  <si>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</si>
  <si>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</si>
  <si>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</si>
  <si>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</si>
  <si>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</si>
  <si>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</si>
  <si>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</si>
  <si>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</si>
  <si>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</si>
  <si>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</si>
  <si>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</si>
  <si>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</si>
  <si>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</si>
  <si>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</si>
  <si>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</si>
  <si>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</si>
  <si>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</si>
  <si>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</si>
  <si>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</si>
  <si>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</si>
  <si>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</si>
  <si>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</si>
  <si>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</si>
  <si>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</si>
  <si>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</si>
  <si>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</si>
  <si>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</si>
  <si>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</si>
  <si>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</si>
  <si>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</si>
  <si>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</si>
  <si>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</si>
  <si>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</si>
  <si>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</si>
  <si>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</si>
  <si>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</si>
  <si>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</si>
  <si>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</si>
  <si>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</si>
  <si>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</si>
  <si>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</si>
  <si>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</si>
  <si>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</si>
  <si>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</si>
  <si>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</si>
  <si>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</si>
  <si>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</si>
  <si>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</si>
  <si>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</si>
  <si>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</si>
  <si>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</si>
  <si>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</si>
  <si>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</si>
  <si>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</si>
  <si>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</si>
  <si>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</si>
  <si>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</si>
  <si>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</si>
  <si>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</si>
  <si>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</si>
  <si>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</si>
  <si>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</si>
  <si>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</si>
  <si>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</si>
  <si>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</si>
  <si>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</si>
  <si>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</si>
  <si>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</si>
  <si>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</si>
  <si>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</si>
  <si>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</si>
  <si>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</si>
  <si>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</si>
  <si>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</si>
  <si>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</si>
  <si>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</si>
  <si>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</si>
  <si>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</si>
  <si>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</si>
  <si>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</si>
  <si>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</si>
  <si>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</si>
  <si>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</si>
  <si>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</si>
  <si>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</si>
  <si>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</si>
  <si>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</si>
  <si>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</si>
  <si>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</si>
  <si>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</si>
  <si>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</si>
  <si>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</si>
  <si>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</si>
  <si>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</si>
  <si>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</si>
  <si>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</si>
  <si>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</si>
  <si>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</si>
  <si>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</si>
  <si>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</si>
  <si>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</si>
  <si>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</si>
  <si>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</si>
  <si>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</si>
  <si>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</si>
  <si>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</si>
  <si>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</si>
  <si>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</si>
  <si>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</si>
  <si>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</si>
  <si>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</si>
  <si>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</si>
  <si>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</si>
  <si>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</si>
  <si>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</si>
  <si>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</si>
  <si>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</si>
  <si>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</si>
  <si>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</si>
  <si>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</si>
  <si>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</si>
  <si>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</si>
  <si>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</si>
  <si>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</si>
  <si>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</si>
  <si>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</si>
  <si>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</si>
  <si>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</si>
  <si>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</si>
  <si>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</si>
  <si>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</si>
  <si>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</si>
  <si>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</si>
  <si>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</si>
  <si>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</si>
  <si>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</si>
  <si>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</si>
  <si>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</si>
  <si>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</si>
  <si>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</si>
  <si>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</si>
  <si>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</si>
  <si>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</si>
  <si>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</si>
  <si>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</si>
  <si>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</si>
  <si>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</si>
  <si>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</si>
  <si>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</si>
  <si>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</si>
  <si>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</si>
  <si>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</si>
  <si>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</si>
  <si>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</si>
  <si>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</si>
  <si>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</si>
  <si>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</si>
  <si>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</si>
  <si>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</si>
  <si>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</si>
  <si>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</si>
  <si>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</si>
  <si>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</si>
  <si>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</si>
  <si>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</si>
  <si>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</si>
  <si>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</si>
  <si>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</si>
  <si>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</si>
  <si>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</si>
  <si>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</si>
  <si>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</si>
  <si>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</si>
  <si>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</si>
  <si>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</si>
  <si>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</si>
  <si>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</si>
  <si>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</si>
  <si>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</si>
  <si>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</si>
  <si>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</si>
  <si>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</si>
  <si>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</si>
  <si>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</si>
  <si>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</si>
  <si>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</si>
  <si>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</si>
  <si>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</si>
  <si>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</si>
  <si>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</si>
  <si>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</si>
  <si>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</si>
  <si>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</si>
  <si>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</si>
  <si>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</si>
  <si>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</si>
  <si>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</si>
  <si>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</si>
  <si>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</si>
  <si>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</si>
  <si>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</si>
  <si>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</si>
  <si>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</si>
  <si>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</si>
  <si>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</si>
  <si>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</si>
  <si>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</si>
  <si>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</si>
  <si>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</si>
  <si>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</si>
  <si>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</si>
  <si>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</si>
  <si>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</si>
  <si>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</si>
  <si>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</si>
  <si>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</si>
  <si>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</si>
  <si>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</si>
  <si>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</si>
  <si>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</si>
  <si>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</si>
  <si>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</si>
  <si>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JORGE ALBERTO MORENO VILALREAL</t>
  </si>
  <si>
    <t>NELSON ALIRIO MUÑOZ LEGUIZAMON</t>
  </si>
  <si>
    <t>SANTIAGO VELANDIA DAZA</t>
  </si>
  <si>
    <t>RODRIGO ANDRES BERNAL MONTERO</t>
  </si>
  <si>
    <t>DIANA PATRICIA VILLAMIL BUITRAGO</t>
  </si>
  <si>
    <t>Durante el segundo semestre del 2023 no se radicaron solicitudes de tribunales de arbitramento en contra del Fondo Nacional deVivienda</t>
  </si>
  <si>
    <t>YOLMAN JULIAN SAENZ SANTAMARIA</t>
  </si>
  <si>
    <t>Para los perfiles de Jefe financiero, Jefe Juridico, Enlace de pagos y Secretario no se pudo verificar el certificado de capacitación.
Se recomienda tener en cuenta que según el instructuvo V 15, son funciones comunes para los usuarios del Sistema Único de Gestión e Información Litigiosa del Estado e-KOGUl,  asistir a las jornadas de capacitación sobre el uso y alcance del Sistema Único de Gestión e Información Litigiosa del Estado e-KOGUI, que convoque la Agencia Nacional de Defensa Jurídica del Estado o el administrador del sistema en la entidad.</t>
  </si>
  <si>
    <t>Por información de la Oficina Asesora Juridica, se informa que: se encuentra un abogado retirado de la entidad en el mes de diciembre de 2023 despues de la vacancia judicial y por terminacion anticipada, en el 1 semestre del 2024 se realizará la reasigancion de casos y posterior inactivacion del perfil en el sistema.
Una vez efectuada la verficiación en el sistema por parte de la Oficina de Control Interno del registro de Abogados inactivos a 31 de diciembre de 2023 no se encuentras abogados inactivos durante este periodo.
Se recomienda tener presente que para los casos que se requiera inactivación de usuario se debe gestionar ante el administrador del sistema.
Por información de la información de la Oficina Asesora Juridica, se informa que: 19 abogados cuentan con capacitación entre 21-03-2019 y 31-12-2019, así como con capacitaciones anteriores al 21-03-2019, no obstante a efectos de la verficación no fueron remitidas las evidencias de capacitación, las cuales pueden ser un certificado expedido por la agencia o también es válido presentar un acta o formato donde conste que el administrador de la entidad capacitó al abogado.</t>
  </si>
  <si>
    <t xml:space="preserve">Segun información de la OAJ, en el sistema se encuentran activos 141 procesos, sin embargo, efectuada la verificación por la OCI, se encontró que durante el periodo de evaluación se encontraban 142 procesos activos registrados.
Por información de la Oficina Asesora Juridica, se informa que: Se encuentra un proceso sin apoderado y sin calificación del riesgo procesal esto ya que el mismo no fue notificado en debida forma y se encuentra en solucionar el recurso de reposición del mismo.
Revisado el sistema se evidencio que los 142 procesos del periodo evaluado en calidad de demandado tienen registro de fecha de actualización de la calificación del riesgo, ninguno tiene provisión contable.
</t>
  </si>
  <si>
    <t>Según información de la OAJ durante el periodo evaluado no se presentaron solicitudes de conciliación prejudiciales, no obstante informan que: "Al realizar la actividad se identifica casos aún activos, durante el mes  de enero y febrero se requirió a los apoderados para que finalizaran el trámite, asi los casos  ya se encuentran totalmente actualizados".
Efectuada la verificacion en el sistema por parte de OCI se evidenció el registro de 4 conciliaciones prejudiciales activas durante el periodo evaluado.
Se recomienda a la OAJ tener actualizada la información de acuerdo a lo registrado en el sistema.</t>
  </si>
  <si>
    <t>Durante el segundo semestre del 2023 , la entidad gestionó sesiones
y fichas del comité de conciliación en los módulos del comité
de concilación y en el módulo de conciliaciones extrajudiciales</t>
  </si>
  <si>
    <t>La Oficina Asesora Jurídica informó que La entidad gestiona por medio del módulo de pagos de SIIF los pagos realizados por temas de sentencias y concilaciones; se encuentran a la espera que Minhacienda cargue la información para poder continuar con el trámite del mismo. La Oficina indica que si bien el Ministerio hace pagos por el SIIF, no se alimenta la informacion del módulo de pagos dado que quien alimenta la información es MINHACIENDA.</t>
  </si>
  <si>
    <t>YOLMAN JULIAN SAENZ SANTAMARIA ( E )</t>
  </si>
  <si>
    <t xml:space="preserve">Con fundamento en las disposiciones establecidas en el Instructivo del Sistema Único de Gestión e Información litigiosa e-KOGUI, Perfil Jefe de Control Interno V 15 expedida por la Agencia Nacional de Defensa Jurídica del Estado se remite la Certificación del Jefe de Control Interno del Fondo Nacional de Vivienda  con los resultados para el II Semestre de 2023, reportada en la Plantilla de diligenciamiento dispuesta por la ANDJE – Sistema Único de Gestión e Información Litigiosa del Estado E kogui en su página web. Se recomienda a los usuarios del sistema: Jefe Financiero, Jefe Jurídico, Enlace de Pagos, Secretario Técnico y abogados de la entidad asistir a las jornadas de capacitación sobre el uso y alcance del Sistema Único de Gestión e Información Litigiosa del Estado e-KOGUI, que convoque la Agencia Nacional de Defensa Jurídica del Estado o el administrador del sistema en la entidad. Asi mismo, se recomienda tener presente que la evidencia de  capacitación puede ser un certificado expedido por la agencia o también es  válido presentar un acta o formato donde conste que el administrador de la entidad capacitó a cada perfil de usuario. Se sugiere analizar la viabilidad de identificar las eventuales diferencias y tomar las acciones que consideren pertinentes.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</si>
</sst>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wrapText="1"/>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L18" sqref="L18"/>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9" t="s">
        <v>72</v>
      </c>
      <c r="C3" s="90"/>
      <c r="D3" s="90"/>
      <c r="E3" s="90"/>
      <c r="F3" s="90"/>
      <c r="G3" s="90"/>
      <c r="H3" s="90"/>
      <c r="I3" s="90"/>
      <c r="J3" s="90"/>
      <c r="K3" s="90"/>
      <c r="L3" s="90"/>
      <c r="M3" s="91"/>
    </row>
    <row r="4" spans="2:13" ht="23.25" x14ac:dyDescent="0.35">
      <c r="B4" s="89" t="s">
        <v>11</v>
      </c>
      <c r="C4" s="90"/>
      <c r="D4" s="90"/>
      <c r="E4" s="90"/>
      <c r="F4" s="90"/>
      <c r="G4" s="90"/>
      <c r="H4" s="90"/>
      <c r="I4" s="90"/>
      <c r="J4" s="90"/>
      <c r="K4" s="90"/>
      <c r="L4" s="90"/>
      <c r="M4" s="91"/>
    </row>
    <row r="5" spans="2:13" x14ac:dyDescent="0.25">
      <c r="B5" s="5"/>
      <c r="M5" s="6"/>
    </row>
    <row r="6" spans="2:13" x14ac:dyDescent="0.25">
      <c r="B6" s="5"/>
      <c r="C6" s="92" t="s">
        <v>83</v>
      </c>
      <c r="D6" s="92"/>
      <c r="E6" s="92"/>
      <c r="F6" s="92"/>
      <c r="G6" s="92"/>
      <c r="H6" s="92"/>
      <c r="I6" s="92"/>
      <c r="J6" s="92"/>
      <c r="K6" s="92"/>
      <c r="L6" s="92"/>
      <c r="M6" s="6"/>
    </row>
    <row r="7" spans="2:13" x14ac:dyDescent="0.25">
      <c r="B7" s="5"/>
      <c r="C7" s="92"/>
      <c r="D7" s="92"/>
      <c r="E7" s="92"/>
      <c r="F7" s="92"/>
      <c r="G7" s="92"/>
      <c r="H7" s="92"/>
      <c r="I7" s="92"/>
      <c r="J7" s="92"/>
      <c r="K7" s="92"/>
      <c r="L7" s="92"/>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FONDO NACIONAL DE VIVIENDA-FONVIVIENDA</v>
      </c>
      <c r="B3" s="56" t="str">
        <f>'Resumen General'!C6</f>
        <v>YOLMAN JULIAN SAENZ SANTAMARIA ( E )</v>
      </c>
      <c r="C3" s="56">
        <f>+ABOGADOS!D11</f>
        <v>20</v>
      </c>
      <c r="D3" s="56">
        <f>+ABOGADOS!D12</f>
        <v>20</v>
      </c>
      <c r="E3" s="56">
        <f>+ABOGADOS!D13</f>
        <v>20</v>
      </c>
      <c r="F3" s="56">
        <f>+ABOGADOS!D14</f>
        <v>0</v>
      </c>
      <c r="G3" s="56">
        <f>+ABOGADOS!D17</f>
        <v>1</v>
      </c>
      <c r="H3" s="56">
        <f>+ABOGADOS!D18</f>
        <v>0</v>
      </c>
      <c r="I3" s="56">
        <f>+ABOGADOS!H10</f>
        <v>10</v>
      </c>
      <c r="J3" s="56">
        <f>+ABOGADOS!H11</f>
        <v>10</v>
      </c>
      <c r="K3" s="56">
        <f>+ABOGADOS!H12</f>
        <v>10</v>
      </c>
      <c r="L3" s="56">
        <f>+ABOGADOS!H17</f>
        <v>20</v>
      </c>
      <c r="M3" s="56">
        <f>+ABOGADOS!H18</f>
        <v>19</v>
      </c>
      <c r="N3" s="56">
        <f>+ABOGADOS!H19</f>
        <v>19</v>
      </c>
      <c r="O3" s="56">
        <f>+ABOGADOS!H20</f>
        <v>0</v>
      </c>
      <c r="P3" s="56">
        <f>+JUDICIALES!D11</f>
        <v>141</v>
      </c>
      <c r="Q3" s="56">
        <f>+JUDICIALES!D12</f>
        <v>142</v>
      </c>
      <c r="R3" s="56">
        <f>+JUDICIALES!D13</f>
        <v>1</v>
      </c>
      <c r="S3" s="56">
        <f>+JUDICIALES!D16</f>
        <v>4</v>
      </c>
      <c r="T3" s="56">
        <f>+JUDICIALES!D17</f>
        <v>4</v>
      </c>
      <c r="U3" s="56">
        <f>+JUDICIALES!D21</f>
        <v>79</v>
      </c>
      <c r="V3" s="56">
        <f>+JUDICIALES!D22</f>
        <v>11</v>
      </c>
      <c r="W3" s="56">
        <f>JUDICIALES!D28</f>
        <v>4</v>
      </c>
      <c r="X3" s="56">
        <f>JUDICIALES!D29</f>
        <v>4</v>
      </c>
      <c r="Y3" s="56">
        <f>JUDICIALES!D30</f>
        <v>0</v>
      </c>
      <c r="Z3" s="56">
        <f>JUDICIALES!D31</f>
        <v>1</v>
      </c>
      <c r="AA3" s="56">
        <f>JUDICIALES!D32</f>
        <v>1</v>
      </c>
      <c r="AB3" s="56">
        <f>+JUDICIALES!G9</f>
        <v>3</v>
      </c>
      <c r="AC3" s="56">
        <f>+JUDICIALES!G10</f>
        <v>3</v>
      </c>
      <c r="AD3" s="56">
        <f>+JUDICIALES!G11</f>
        <v>3</v>
      </c>
      <c r="AE3" s="56">
        <f>+JUDICIALES!G15</f>
        <v>136</v>
      </c>
      <c r="AF3" s="56">
        <f>+JUDICIALES!G16</f>
        <v>133</v>
      </c>
      <c r="AG3" s="56">
        <f>+JUDICIALES!G17</f>
        <v>0</v>
      </c>
      <c r="AH3" s="56">
        <f>+JUDICIALES!G18</f>
        <v>1</v>
      </c>
      <c r="AI3" s="56">
        <f>+JUDICIALES!G21</f>
        <v>3</v>
      </c>
      <c r="AJ3" s="56">
        <f>+JUDICIALES!G22</f>
        <v>41</v>
      </c>
      <c r="AK3" s="56">
        <f>+JUDICIALES!G23</f>
        <v>11</v>
      </c>
      <c r="AL3" s="56">
        <f>+JUDICIALES!G24</f>
        <v>63</v>
      </c>
      <c r="AM3" s="56">
        <f>+JUDICIALES!H21</f>
        <v>3</v>
      </c>
      <c r="AN3" s="56">
        <f>+JUDICIALES!H22</f>
        <v>41</v>
      </c>
      <c r="AO3" s="56">
        <f>+JUDICIALES!H23</f>
        <v>11</v>
      </c>
      <c r="AP3" s="56">
        <f>+JUDICIALES!H24</f>
        <v>63</v>
      </c>
      <c r="AQ3" s="56">
        <f>+PREJUDICIALES!D10</f>
        <v>0</v>
      </c>
      <c r="AR3" s="56">
        <f>+PREJUDICIALES!D11</f>
        <v>4</v>
      </c>
      <c r="AS3" s="56">
        <f>+PREJUDICIALES!D12</f>
        <v>3</v>
      </c>
      <c r="AT3" s="56">
        <f>+PREJUDICIALES!D13</f>
        <v>1</v>
      </c>
      <c r="AU3" s="56">
        <f>+PREJUDICIALES!D14</f>
        <v>0</v>
      </c>
      <c r="AV3" s="56">
        <f>+PREJUDICIALES!D17</f>
        <v>3</v>
      </c>
      <c r="AW3" s="56">
        <f>+PREJUDICIALES!D18</f>
        <v>3</v>
      </c>
      <c r="AX3" s="56">
        <f>+PREJUDICIALES!G12</f>
        <v>0</v>
      </c>
      <c r="AY3" s="56">
        <f>+PREJUDICIALES!G13</f>
        <v>1</v>
      </c>
      <c r="AZ3" s="56">
        <f>+ARBITRAMENTOS!D9</f>
        <v>0</v>
      </c>
      <c r="BA3" s="56">
        <f>+ARBITRAMENTOS!D10</f>
        <v>0</v>
      </c>
      <c r="BB3" s="56">
        <f>ARBITRAMENTOS!G9</f>
        <v>1</v>
      </c>
      <c r="BC3" s="56">
        <f>ARBITRAMENTOS!G10</f>
        <v>1</v>
      </c>
      <c r="BD3" s="56" t="str">
        <f>+PAGOS!D9</f>
        <v>Si</v>
      </c>
      <c r="BE3" s="56" t="str">
        <f>+PAGOS!D10</f>
        <v>No</v>
      </c>
      <c r="BF3" s="57">
        <f>USUARIOS!D9</f>
        <v>45348</v>
      </c>
      <c r="BG3" s="57">
        <f>ABOGADOS!D7</f>
        <v>45348</v>
      </c>
      <c r="BH3" s="57">
        <f>JUDICIALES!D8</f>
        <v>45348</v>
      </c>
      <c r="BI3" s="56" t="str">
        <f>+USUARIOS!C19</f>
        <v>Para los perfiles de Jefe financiero, Jefe Juridico, Enlace de pagos y Secretario no se pudo verificar el certificado de capacitación.
Se recomienda tener en cuenta que según el instructuvo V 15, son funciones comunes para los usuarios del Sistema Único de Gestión e Información Litigiosa del Estado e-KOGUl,  asistir a las jornadas de capacitación sobre el uso y alcance del Sistema Único de Gestión e Información Litigiosa del Estado e-KOGUI, que convoque la Agencia Nacional de Defensa Jurídica del Estado o el administrador del sistema en la entidad.</v>
      </c>
      <c r="BJ3" s="56" t="str">
        <f>+ABOGADOS!C22</f>
        <v>Por información de la Oficina Asesora Juridica, se informa que: se encuentra un abogado retirado de la entidad en el mes de diciembre de 2023 despues de la vacancia judicial y por terminacion anticipada, en el 1 semestre del 2024 se realizará la reasigancion de casos y posterior inactivacion del perfil en el sistema.
Una vez efectuada la verficiación en el sistema por parte de la Oficina de Control Interno del registro de Abogados inactivos a 31 de diciembre de 2023 no se encuentras abogados inactivos durante este periodo.
Se recomienda tener presente que para los casos que se requiera inactivación de usuario se debe gestionar ante el administrador del sistema.
Por información de la información de la Oficina Asesora Juridica, se informa que: 19 abogados cuentan con capacitación entre 21-03-2019 y 31-12-2019, así como con capacitaciones anteriores al 21-03-2019, no obstante a efectos de la verficación no fueron remitidas las evidencias de capacitación, las cuales pueden ser un certificado expedido por la agencia o también es válido presentar un acta o formato donde conste que el administrador de la entidad capacitó al abogado.</v>
      </c>
      <c r="BK3" s="56" t="str">
        <f>+JUDICIALES!F28</f>
        <v xml:space="preserve">Segun información de la OAJ, en el sistema se encuentran activos 141 procesos, sin embargo, efectuada la verificación por la OCI, se encontró que durante el periodo de evaluación se encontraban 142 procesos activos registrados.
Por información de la Oficina Asesora Juridica, se informa que: Se encuentra un proceso sin apoderado y sin calificación del riesgo procesal esto ya que el mismo no fue notificado en debida forma y se encuentra en solucionar el recurso de reposición del mismo.
Revisado el sistema se evidencio que los 142 procesos del periodo evaluado en calidad de demandado tienen registro de fecha de actualización de la calificación del riesgo, ninguno tiene provisión contable.
</v>
      </c>
      <c r="BL3" s="56" t="str">
        <f>+PREJUDICIALES!F17</f>
        <v>Según información de la OAJ durante el periodo evaluado no se presentaron solicitudes de conciliación prejudiciales, no obstante informan que: "Al realizar la actividad se identifica casos aún activos, durante el mes  de enero y febrero se requirió a los apoderados para que finalizaran el trámite, asi los casos  ya se encuentran totalmente actualizados".
Efectuada la verificacion en el sistema por parte de OCI se evidenció el registro de 4 conciliaciones prejudiciales activas durante el periodo evaluado.
Se recomienda a la OAJ tener actualizada la información de acuerdo a lo registrado en el sistema.</v>
      </c>
      <c r="BM3" s="56" t="str">
        <f>+ARBITRAMENTOS!C13</f>
        <v>Durante el segundo semestre del 2023 no se radicaron solicitudes de tribunales de arbitramento en contra del Fondo Nacional deVivienda</v>
      </c>
      <c r="BN3" s="56" t="str">
        <f>+PAGOS!F8</f>
        <v>La Oficina Asesora Jurídica informó que La entidad gestiona por medio del módulo de pagos de SIIF los pagos realizados por temas de sentencias y concilaciones; se encuentran a la espera que Minhacienda cargue la información para poder continuar con el trámite del mismo. La Oficina indica que si bien el Ministerio hace pagos por el SIIF, no se alimenta la informacion del módulo de pagos dado que quien alimenta la información es MINHACIENDA.</v>
      </c>
      <c r="BO3" s="56" t="str">
        <f>'Resumen General'!B26</f>
        <v xml:space="preserve">Con fundamento en las disposiciones establecidas en el Instructivo del Sistema Único de Gestión e Información litigiosa e-KOGUI, Perfil Jefe de Control Interno V 15 expedida por la Agencia Nacional de Defensa Jurídica del Estado se remite la Certificación del Jefe de Control Interno del Fondo Nacional de Vivienda  con los resultados para el II Semestre de 2023, reportada en la Plantilla de diligenciamiento dispuesta por la ANDJE – Sistema Único de Gestión e Información Litigiosa del Estado E kogui en su página web. Se recomienda a los usuarios del sistema: Jefe Financiero, Jefe Jurídico, Enlace de Pagos, Secretario Técnico y abogados de la entidad asistir a las jornadas de capacitación sobre el uso y alcance del Sistema Único de Gestión e Información Litigiosa del Estado e-KOGUI, que convoque la Agencia Nacional de Defensa Jurídica del Estado o el administrador del sistema en la entidad. Asi mismo, se recomienda tener presente que la evidencia de  capacitación puede ser un certificado expedido por la agencia o también es  válido presentar un acta o formato donde conste que el administrador de la entidad capacitó a cada perfil de usuario. Se sugiere analizar la viabilidad de identificar las eventuales diferencias y tomar las acciones que consideren pertinentes. </v>
      </c>
      <c r="BP3" s="56" t="str">
        <f>USUARIOS!C20</f>
        <v>Si</v>
      </c>
      <c r="BQ3" s="56" t="str">
        <f>ABOGADOS!D26</f>
        <v>Si</v>
      </c>
      <c r="BR3" s="56" t="str">
        <f>JUDICIALES!H34</f>
        <v>No</v>
      </c>
      <c r="BS3" s="56" t="str">
        <f>PREJUDICIALES!G23</f>
        <v>No</v>
      </c>
      <c r="BT3" s="56" t="str">
        <f>ARBITRAMENTOS!D17</f>
        <v>No</v>
      </c>
      <c r="BU3" s="56" t="str">
        <f>PAGOS!G11</f>
        <v>No</v>
      </c>
      <c r="BV3" s="56" t="str">
        <f>'Resumen General'!C30</f>
        <v>Si</v>
      </c>
      <c r="BW3" s="56" t="str">
        <f>'COMITES DE CONCILIACION'!D9</f>
        <v>Si</v>
      </c>
      <c r="BX3" s="56" t="str">
        <f>'COMITES DE CONCILIACION'!D10</f>
        <v>Si</v>
      </c>
      <c r="BY3" s="56" t="str">
        <f>'COMITES DE CONCILIACION'!F8</f>
        <v>Durante el segundo semestre del 2023 , la entidad gestionó sesiones
y fichas del comité de conciliación en los módulos del comité
de concilación y en el módulo de conciliaciones extrajudiciales</v>
      </c>
      <c r="BZ3" s="56" t="str">
        <f>'COMITES DE CONCILIACION'!G11</f>
        <v>No</v>
      </c>
    </row>
    <row r="12" spans="1:88" x14ac:dyDescent="0.25">
      <c r="A12" s="59" t="s">
        <v>36</v>
      </c>
      <c r="B12" s="59" t="s">
        <v>15</v>
      </c>
      <c r="C12" s="59" t="s">
        <v>16</v>
      </c>
      <c r="D12" s="59" t="s">
        <v>6</v>
      </c>
      <c r="E12" s="59" t="s">
        <v>7</v>
      </c>
      <c r="F12" s="59" t="s">
        <v>17</v>
      </c>
      <c r="G12" s="59" t="s">
        <v>73</v>
      </c>
    </row>
    <row r="13" spans="1:88" x14ac:dyDescent="0.25">
      <c r="A13" s="56" t="str">
        <f t="shared" ref="A13:A18" si="0">$A$3</f>
        <v>FONDO NACIONAL DE VIVIENDA-FONVIVIENDA</v>
      </c>
      <c r="B13" s="56" t="s">
        <v>0</v>
      </c>
      <c r="C13" s="56" t="str">
        <f>USUARIOS!C12</f>
        <v>Si</v>
      </c>
      <c r="D13" s="58">
        <f>USUARIOS!D12</f>
        <v>44433</v>
      </c>
      <c r="E13" s="56" t="str">
        <f>USUARIOS!E12</f>
        <v>JORGE ALBERTO MORENO VILALREAL</v>
      </c>
      <c r="F13" s="58">
        <f>USUARIOS!F12</f>
        <v>0</v>
      </c>
      <c r="G13" s="56" t="str">
        <f>USUARIOS!G12</f>
        <v>DESACTUALIZADO</v>
      </c>
    </row>
    <row r="14" spans="1:88" x14ac:dyDescent="0.25">
      <c r="A14" s="56" t="str">
        <f t="shared" si="0"/>
        <v>FONDO NACIONAL DE VIVIENDA-FONVIVIENDA</v>
      </c>
      <c r="B14" s="56" t="s">
        <v>1</v>
      </c>
      <c r="C14" s="56" t="str">
        <f>USUARIOS!C13</f>
        <v>Si</v>
      </c>
      <c r="D14" s="58">
        <f>USUARIOS!D13</f>
        <v>44853</v>
      </c>
      <c r="E14" s="56" t="str">
        <f>USUARIOS!E13</f>
        <v>NELSON ALIRIO MUÑOZ LEGUIZAMON</v>
      </c>
      <c r="F14" s="58">
        <f>USUARIOS!F13</f>
        <v>0</v>
      </c>
      <c r="G14" s="56" t="str">
        <f>USUARIOS!G13</f>
        <v>DESACTUALIZADO</v>
      </c>
    </row>
    <row r="15" spans="1:88" x14ac:dyDescent="0.25">
      <c r="A15" s="56" t="str">
        <f t="shared" si="0"/>
        <v>FONDO NACIONAL DE VIVIENDA-FONVIVIENDA</v>
      </c>
      <c r="B15" s="56" t="s">
        <v>2</v>
      </c>
      <c r="C15" s="56" t="str">
        <f>USUARIOS!C14</f>
        <v>Si</v>
      </c>
      <c r="D15" s="58">
        <f>USUARIOS!D14</f>
        <v>44058</v>
      </c>
      <c r="E15" s="56" t="str">
        <f>USUARIOS!E14</f>
        <v>SANTIAGO VELANDIA DAZA</v>
      </c>
      <c r="F15" s="58">
        <f>USUARIOS!F14</f>
        <v>0</v>
      </c>
      <c r="G15" s="56" t="str">
        <f>USUARIOS!G14</f>
        <v>DESACTUALIZADO</v>
      </c>
    </row>
    <row r="16" spans="1:88" x14ac:dyDescent="0.25">
      <c r="A16" s="56" t="str">
        <f t="shared" si="0"/>
        <v>FONDO NACIONAL DE VIVIENDA-FONVIVIENDA</v>
      </c>
      <c r="B16" s="56" t="s">
        <v>3</v>
      </c>
      <c r="C16" s="56" t="str">
        <f>USUARIOS!C15</f>
        <v>Si</v>
      </c>
      <c r="D16" s="58">
        <f>USUARIOS!D15</f>
        <v>45291</v>
      </c>
      <c r="E16" s="56" t="str">
        <f>USUARIOS!E15</f>
        <v>YOLMAN JULIAN SAENZ SANTAMARIA</v>
      </c>
      <c r="F16" s="58">
        <f>USUARIOS!F15</f>
        <v>44606</v>
      </c>
      <c r="G16" s="56" t="str">
        <f>USUARIOS!G15</f>
        <v/>
      </c>
    </row>
    <row r="17" spans="1:7" x14ac:dyDescent="0.25">
      <c r="A17" s="56" t="str">
        <f t="shared" si="0"/>
        <v>FONDO NACIONAL DE VIVIENDA-FONVIVIENDA</v>
      </c>
      <c r="B17" s="56" t="s">
        <v>4</v>
      </c>
      <c r="C17" s="56" t="str">
        <f>USUARIOS!C16</f>
        <v>Si</v>
      </c>
      <c r="D17" s="58">
        <f>USUARIOS!D16</f>
        <v>44707</v>
      </c>
      <c r="E17" s="56" t="str">
        <f>USUARIOS!E16</f>
        <v>RODRIGO ANDRES BERNAL MONTERO</v>
      </c>
      <c r="F17" s="58">
        <f>USUARIOS!F16</f>
        <v>0</v>
      </c>
      <c r="G17" s="56" t="str">
        <f>USUARIOS!G16</f>
        <v>DESACTUALIZADO</v>
      </c>
    </row>
    <row r="18" spans="1:7" x14ac:dyDescent="0.25">
      <c r="A18" s="56" t="str">
        <f t="shared" si="0"/>
        <v>FONDO NACIONAL DE VIVIENDA-FONVIVIENDA</v>
      </c>
      <c r="B18" s="56" t="s">
        <v>5</v>
      </c>
      <c r="C18" s="56" t="str">
        <f>USUARIOS!C17</f>
        <v>Si</v>
      </c>
      <c r="D18" s="58">
        <f>USUARIOS!D17</f>
        <v>42746</v>
      </c>
      <c r="E18" s="56" t="str">
        <f>USUARIOS!E17</f>
        <v>DIANA PATRICIA VILLAMIL BUITRAGO</v>
      </c>
      <c r="F18" s="58">
        <f>USUARIOS!F17</f>
        <v>45119</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A5" zoomScale="90" zoomScaleNormal="90" workbookViewId="0">
      <selection activeCell="C19" sqref="C19:G19"/>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3" t="s">
        <v>100</v>
      </c>
      <c r="C7" s="94"/>
      <c r="D7" s="94"/>
      <c r="E7" s="94"/>
      <c r="F7" s="94"/>
      <c r="G7" s="95"/>
      <c r="T7" s="1" t="s">
        <v>12</v>
      </c>
    </row>
    <row r="8" spans="2:20" ht="15.75" thickBot="1" x14ac:dyDescent="0.3">
      <c r="B8" s="13"/>
      <c r="D8" s="101" t="s">
        <v>136</v>
      </c>
      <c r="E8" s="101"/>
      <c r="G8" s="14"/>
      <c r="T8" s="1" t="s">
        <v>13</v>
      </c>
    </row>
    <row r="9" spans="2:20" ht="15.75" thickBot="1" x14ac:dyDescent="0.3">
      <c r="B9" s="99" t="s">
        <v>158</v>
      </c>
      <c r="C9" s="100"/>
      <c r="D9" s="86">
        <v>45348</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12</v>
      </c>
      <c r="D12" s="65">
        <v>44433</v>
      </c>
      <c r="E12" s="64" t="s">
        <v>639</v>
      </c>
      <c r="F12" s="65"/>
      <c r="G12" s="66" t="str">
        <f t="shared" ref="G12:G15" si="0">+IF(C12="Si",IF(F12&lt;$G$10,"DESACTUALIZADO",""),"")</f>
        <v>DESACTUALIZADO</v>
      </c>
      <c r="H12" s="34">
        <f t="shared" ref="H12:H17" si="1">+IF(C12="N/A",1,0)</f>
        <v>0</v>
      </c>
      <c r="I12" s="34">
        <f t="shared" ref="I12:I17" si="2">+IF(C12="Si",1,0)</f>
        <v>1</v>
      </c>
      <c r="J12" s="34">
        <f t="shared" ref="J12:J17" si="3">+IF(C12="No",1,0)</f>
        <v>0</v>
      </c>
    </row>
    <row r="13" spans="2:20" x14ac:dyDescent="0.25">
      <c r="B13" s="19" t="s">
        <v>1</v>
      </c>
      <c r="C13" s="64" t="s">
        <v>12</v>
      </c>
      <c r="D13" s="65">
        <v>44853</v>
      </c>
      <c r="E13" s="64" t="s">
        <v>640</v>
      </c>
      <c r="F13" s="65"/>
      <c r="G13" s="66" t="str">
        <f t="shared" si="0"/>
        <v>DESACTUALIZADO</v>
      </c>
      <c r="H13" s="34">
        <f t="shared" si="1"/>
        <v>0</v>
      </c>
      <c r="I13" s="34">
        <f t="shared" si="2"/>
        <v>1</v>
      </c>
      <c r="J13" s="34">
        <f t="shared" si="3"/>
        <v>0</v>
      </c>
    </row>
    <row r="14" spans="2:20" x14ac:dyDescent="0.25">
      <c r="B14" s="19" t="s">
        <v>2</v>
      </c>
      <c r="C14" s="64" t="s">
        <v>12</v>
      </c>
      <c r="D14" s="65">
        <v>44058</v>
      </c>
      <c r="E14" s="64" t="s">
        <v>641</v>
      </c>
      <c r="F14" s="65"/>
      <c r="G14" s="66" t="str">
        <f t="shared" si="0"/>
        <v>DESACTUALIZADO</v>
      </c>
      <c r="H14" s="34">
        <f t="shared" si="1"/>
        <v>0</v>
      </c>
      <c r="I14" s="34">
        <f t="shared" si="2"/>
        <v>1</v>
      </c>
      <c r="J14" s="34">
        <f t="shared" si="3"/>
        <v>0</v>
      </c>
      <c r="T14" s="38">
        <v>43545</v>
      </c>
    </row>
    <row r="15" spans="2:20" x14ac:dyDescent="0.25">
      <c r="B15" s="19" t="s">
        <v>3</v>
      </c>
      <c r="C15" s="64" t="s">
        <v>12</v>
      </c>
      <c r="D15" s="65">
        <v>45291</v>
      </c>
      <c r="E15" s="64" t="s">
        <v>645</v>
      </c>
      <c r="F15" s="65">
        <v>44606</v>
      </c>
      <c r="G15" s="66" t="str">
        <f t="shared" si="0"/>
        <v/>
      </c>
      <c r="H15" s="34">
        <f t="shared" si="1"/>
        <v>0</v>
      </c>
      <c r="I15" s="34">
        <f t="shared" si="2"/>
        <v>1</v>
      </c>
      <c r="J15" s="34">
        <f t="shared" si="3"/>
        <v>0</v>
      </c>
    </row>
    <row r="16" spans="2:20" x14ac:dyDescent="0.25">
      <c r="B16" s="19" t="s">
        <v>4</v>
      </c>
      <c r="C16" s="64" t="s">
        <v>12</v>
      </c>
      <c r="D16" s="65">
        <v>44707</v>
      </c>
      <c r="E16" s="64" t="s">
        <v>642</v>
      </c>
      <c r="F16" s="65"/>
      <c r="G16" s="66" t="str">
        <f t="shared" ref="G16:G17" si="4">+IF(C16="Si",IF(F16&lt;$G$10,"DESACTUALIZADO",""),"")</f>
        <v>DESACTUALIZADO</v>
      </c>
      <c r="H16" s="34">
        <f t="shared" si="1"/>
        <v>0</v>
      </c>
      <c r="I16" s="34">
        <f t="shared" si="2"/>
        <v>1</v>
      </c>
      <c r="J16" s="34">
        <f t="shared" si="3"/>
        <v>0</v>
      </c>
    </row>
    <row r="17" spans="2:10" ht="15.75" thickBot="1" x14ac:dyDescent="0.3">
      <c r="B17" s="82" t="s">
        <v>5</v>
      </c>
      <c r="C17" s="83" t="s">
        <v>12</v>
      </c>
      <c r="D17" s="84">
        <v>42746</v>
      </c>
      <c r="E17" s="83" t="s">
        <v>643</v>
      </c>
      <c r="F17" s="84">
        <v>45119</v>
      </c>
      <c r="G17" s="85" t="str">
        <f t="shared" si="4"/>
        <v/>
      </c>
      <c r="H17" s="34">
        <f t="shared" si="1"/>
        <v>0</v>
      </c>
      <c r="I17" s="34">
        <f t="shared" si="2"/>
        <v>1</v>
      </c>
      <c r="J17" s="34">
        <f t="shared" si="3"/>
        <v>0</v>
      </c>
    </row>
    <row r="18" spans="2:10" ht="15.75" thickBot="1" x14ac:dyDescent="0.3">
      <c r="B18" s="13"/>
      <c r="G18" s="14"/>
    </row>
    <row r="19" spans="2:10" ht="94.5" customHeight="1" thickBot="1" x14ac:dyDescent="0.3">
      <c r="B19" s="77" t="s">
        <v>86</v>
      </c>
      <c r="C19" s="96" t="s">
        <v>646</v>
      </c>
      <c r="D19" s="97"/>
      <c r="E19" s="97"/>
      <c r="F19" s="97"/>
      <c r="G19" s="98"/>
    </row>
    <row r="20" spans="2:10" ht="15.75" thickBot="1" x14ac:dyDescent="0.3">
      <c r="B20" s="75" t="s">
        <v>165</v>
      </c>
      <c r="C20" s="76" t="s">
        <v>12</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6" zoomScale="90" zoomScaleNormal="90" workbookViewId="0">
      <selection activeCell="C22" sqref="C22:H25"/>
    </sheetView>
  </sheetViews>
  <sheetFormatPr baseColWidth="10" defaultColWidth="11.42578125"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10</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45348</v>
      </c>
      <c r="E7"/>
      <c r="F7" s="22"/>
      <c r="G7" s="102" t="str">
        <f>"Seleccione una muestra de "&amp;W3&amp;" abogados activos y complete la siguiente tabla"</f>
        <v>Seleccione una muestra de 10 abogados activos y complete la siguiente tabla</v>
      </c>
      <c r="H7" s="103"/>
      <c r="I7" s="25"/>
      <c r="T7" s="1" t="s">
        <v>12</v>
      </c>
    </row>
    <row r="8" spans="2:23" x14ac:dyDescent="0.25">
      <c r="B8" s="13"/>
      <c r="G8" s="104"/>
      <c r="H8" s="105"/>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10</v>
      </c>
      <c r="I10" s="14"/>
    </row>
    <row r="11" spans="2:23" x14ac:dyDescent="0.25">
      <c r="B11" s="13"/>
      <c r="C11" s="18" t="s">
        <v>141</v>
      </c>
      <c r="D11" s="64">
        <v>20</v>
      </c>
      <c r="E11"/>
      <c r="F11"/>
      <c r="G11" s="18" t="s">
        <v>87</v>
      </c>
      <c r="H11" s="64">
        <v>10</v>
      </c>
      <c r="I11" s="14"/>
    </row>
    <row r="12" spans="2:23" x14ac:dyDescent="0.25">
      <c r="B12" s="13"/>
      <c r="C12" s="18" t="s">
        <v>22</v>
      </c>
      <c r="D12" s="64">
        <v>20</v>
      </c>
      <c r="E12"/>
      <c r="F12"/>
      <c r="G12" s="18" t="s">
        <v>88</v>
      </c>
      <c r="H12" s="64">
        <v>10</v>
      </c>
      <c r="I12" s="14"/>
    </row>
    <row r="13" spans="2:23" x14ac:dyDescent="0.25">
      <c r="B13" s="13"/>
      <c r="C13" s="18" t="s">
        <v>26</v>
      </c>
      <c r="D13" s="64">
        <v>20</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1</v>
      </c>
      <c r="E17"/>
      <c r="F17"/>
      <c r="G17" s="18" t="s">
        <v>637</v>
      </c>
      <c r="H17" s="64">
        <v>20</v>
      </c>
      <c r="I17" s="14"/>
    </row>
    <row r="18" spans="2:9" x14ac:dyDescent="0.25">
      <c r="B18" s="13"/>
      <c r="C18" s="18" t="s">
        <v>169</v>
      </c>
      <c r="D18" s="64">
        <v>0</v>
      </c>
      <c r="E18"/>
      <c r="F18"/>
      <c r="G18" s="35" t="s">
        <v>638</v>
      </c>
      <c r="H18" s="64">
        <v>19</v>
      </c>
      <c r="I18" s="14"/>
    </row>
    <row r="19" spans="2:9" x14ac:dyDescent="0.25">
      <c r="B19" s="13"/>
      <c r="C19" s="46"/>
      <c r="F19"/>
      <c r="G19" s="18" t="s">
        <v>91</v>
      </c>
      <c r="H19" s="64">
        <v>19</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6" t="s">
        <v>647</v>
      </c>
      <c r="D22" s="107"/>
      <c r="E22" s="107"/>
      <c r="F22" s="107"/>
      <c r="G22" s="107"/>
      <c r="H22" s="108"/>
      <c r="I22" s="14"/>
    </row>
    <row r="23" spans="2:9" x14ac:dyDescent="0.25">
      <c r="B23" s="13"/>
      <c r="C23" s="109"/>
      <c r="D23" s="110"/>
      <c r="E23" s="110"/>
      <c r="F23" s="110"/>
      <c r="G23" s="110"/>
      <c r="H23" s="111"/>
      <c r="I23" s="14"/>
    </row>
    <row r="24" spans="2:9" x14ac:dyDescent="0.25">
      <c r="B24" s="13"/>
      <c r="C24" s="109"/>
      <c r="D24" s="110"/>
      <c r="E24" s="110"/>
      <c r="F24" s="110"/>
      <c r="G24" s="110"/>
      <c r="H24" s="111"/>
      <c r="I24" s="14"/>
    </row>
    <row r="25" spans="2:9" ht="15.75" thickBot="1" x14ac:dyDescent="0.3">
      <c r="B25" s="13"/>
      <c r="C25" s="112"/>
      <c r="D25" s="113"/>
      <c r="E25" s="113"/>
      <c r="F25" s="113"/>
      <c r="G25" s="113"/>
      <c r="H25" s="114"/>
      <c r="I25" s="14"/>
    </row>
    <row r="26" spans="2:9" ht="15.75" thickBot="1" x14ac:dyDescent="0.3">
      <c r="B26" s="13"/>
      <c r="C26" s="75" t="s">
        <v>165</v>
      </c>
      <c r="D26" s="76" t="s">
        <v>12</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14" zoomScale="80" zoomScaleNormal="80" workbookViewId="0">
      <selection activeCell="F28" sqref="F28:H33"/>
    </sheetView>
  </sheetViews>
  <sheetFormatPr baseColWidth="10" defaultColWidth="11.42578125"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4</v>
      </c>
    </row>
    <row r="4" spans="2:23" x14ac:dyDescent="0.25">
      <c r="B4" s="13"/>
      <c r="I4" s="14"/>
    </row>
    <row r="5" spans="2:23" ht="9" customHeight="1" x14ac:dyDescent="0.25">
      <c r="B5" s="13"/>
      <c r="I5" s="14"/>
    </row>
    <row r="6" spans="2:23" ht="19.5" customHeight="1" x14ac:dyDescent="0.25">
      <c r="B6" s="13"/>
      <c r="C6" s="125" t="s">
        <v>64</v>
      </c>
      <c r="D6" s="125"/>
      <c r="E6" s="125"/>
      <c r="F6" s="125"/>
      <c r="G6" s="125"/>
      <c r="H6" s="125"/>
      <c r="I6" s="25"/>
    </row>
    <row r="7" spans="2:23" x14ac:dyDescent="0.25">
      <c r="B7" s="13"/>
      <c r="E7" s="67" t="s">
        <v>136</v>
      </c>
      <c r="I7" s="14"/>
      <c r="T7" s="1" t="s">
        <v>12</v>
      </c>
    </row>
    <row r="8" spans="2:23" x14ac:dyDescent="0.25">
      <c r="B8" s="13"/>
      <c r="C8" s="20" t="s">
        <v>158</v>
      </c>
      <c r="D8" s="65">
        <v>45348</v>
      </c>
      <c r="E8"/>
      <c r="F8" s="29" t="s">
        <v>97</v>
      </c>
      <c r="G8" s="72" t="s">
        <v>18</v>
      </c>
      <c r="I8" s="14"/>
      <c r="T8" s="1" t="s">
        <v>13</v>
      </c>
    </row>
    <row r="9" spans="2:23" x14ac:dyDescent="0.25">
      <c r="B9" s="13"/>
      <c r="E9"/>
      <c r="F9" s="18" t="s">
        <v>144</v>
      </c>
      <c r="G9" s="64">
        <v>3</v>
      </c>
      <c r="I9" s="14"/>
      <c r="T9" s="1" t="s">
        <v>14</v>
      </c>
    </row>
    <row r="10" spans="2:23" x14ac:dyDescent="0.25">
      <c r="B10" s="13"/>
      <c r="C10" s="20" t="s">
        <v>604</v>
      </c>
      <c r="D10" s="20" t="s">
        <v>23</v>
      </c>
      <c r="E10"/>
      <c r="F10" s="18" t="s">
        <v>57</v>
      </c>
      <c r="G10" s="64">
        <v>3</v>
      </c>
      <c r="I10" s="14"/>
    </row>
    <row r="11" spans="2:23" x14ac:dyDescent="0.25">
      <c r="B11" s="13"/>
      <c r="C11" s="18" t="s">
        <v>142</v>
      </c>
      <c r="D11" s="64">
        <v>141</v>
      </c>
      <c r="E11"/>
      <c r="F11" s="18" t="s">
        <v>75</v>
      </c>
      <c r="G11" s="64">
        <v>3</v>
      </c>
      <c r="I11" s="14"/>
    </row>
    <row r="12" spans="2:23" x14ac:dyDescent="0.25">
      <c r="B12" s="13"/>
      <c r="C12" s="18" t="s">
        <v>28</v>
      </c>
      <c r="D12" s="64">
        <v>142</v>
      </c>
      <c r="E12"/>
      <c r="F12" s="30" t="s">
        <v>614</v>
      </c>
      <c r="I12" s="14"/>
    </row>
    <row r="13" spans="2:23" x14ac:dyDescent="0.25">
      <c r="B13" s="13"/>
      <c r="C13" s="18" t="s">
        <v>74</v>
      </c>
      <c r="D13" s="64">
        <v>1</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136</v>
      </c>
      <c r="I15" s="14"/>
    </row>
    <row r="16" spans="2:23" x14ac:dyDescent="0.25">
      <c r="B16" s="13"/>
      <c r="C16" s="18" t="s">
        <v>607</v>
      </c>
      <c r="D16" s="64">
        <v>4</v>
      </c>
      <c r="E16"/>
      <c r="F16" s="18" t="s">
        <v>612</v>
      </c>
      <c r="G16" s="64">
        <v>133</v>
      </c>
      <c r="I16" s="14"/>
    </row>
    <row r="17" spans="2:9" x14ac:dyDescent="0.25">
      <c r="B17" s="13"/>
      <c r="C17" s="18" t="s">
        <v>608</v>
      </c>
      <c r="D17" s="64">
        <v>4</v>
      </c>
      <c r="E17"/>
      <c r="F17" s="18" t="s">
        <v>613</v>
      </c>
      <c r="G17" s="64">
        <v>0</v>
      </c>
      <c r="I17" s="14"/>
    </row>
    <row r="18" spans="2:9" x14ac:dyDescent="0.25">
      <c r="B18" s="13"/>
      <c r="C18" s="30" t="s">
        <v>159</v>
      </c>
      <c r="E18"/>
      <c r="F18" s="18" t="s">
        <v>145</v>
      </c>
      <c r="G18" s="64">
        <v>1</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79</v>
      </c>
      <c r="E21"/>
      <c r="F21" s="18" t="s">
        <v>60</v>
      </c>
      <c r="G21" s="64">
        <v>3</v>
      </c>
      <c r="H21" s="64">
        <v>3</v>
      </c>
      <c r="I21" s="14"/>
    </row>
    <row r="22" spans="2:9" ht="15" customHeight="1" x14ac:dyDescent="0.25">
      <c r="B22" s="13"/>
      <c r="C22" s="48" t="s">
        <v>143</v>
      </c>
      <c r="D22" s="64">
        <v>11</v>
      </c>
      <c r="E22"/>
      <c r="F22" s="18" t="s">
        <v>61</v>
      </c>
      <c r="G22" s="64">
        <v>41</v>
      </c>
      <c r="H22" s="64">
        <v>41</v>
      </c>
      <c r="I22" s="14"/>
    </row>
    <row r="23" spans="2:9" x14ac:dyDescent="0.25">
      <c r="B23" s="13"/>
      <c r="C23" s="73" t="s">
        <v>636</v>
      </c>
      <c r="D23" s="53"/>
      <c r="E23"/>
      <c r="F23" s="18" t="s">
        <v>62</v>
      </c>
      <c r="G23" s="64">
        <v>11</v>
      </c>
      <c r="H23" s="64">
        <v>11</v>
      </c>
      <c r="I23" s="14"/>
    </row>
    <row r="24" spans="2:9" x14ac:dyDescent="0.25">
      <c r="B24" s="13"/>
      <c r="E24"/>
      <c r="F24" s="18" t="s">
        <v>63</v>
      </c>
      <c r="G24" s="64">
        <v>63</v>
      </c>
      <c r="H24" s="64">
        <v>63</v>
      </c>
      <c r="I24" s="14"/>
    </row>
    <row r="25" spans="2:9" ht="30" customHeight="1" x14ac:dyDescent="0.25">
      <c r="B25" s="13"/>
      <c r="C25" s="55" t="str">
        <f>"Seleccione "&amp;W3&amp;" procesos teminados en el segundo semestre de 2023 y llene la siguiente tabla:"</f>
        <v>Seleccione 4 procesos teminados en el segundo semestre de 2023 y llene la siguiente tabla:</v>
      </c>
      <c r="D25" s="50"/>
      <c r="E25"/>
      <c r="F25" s="126" t="s">
        <v>610</v>
      </c>
      <c r="G25" s="126"/>
      <c r="H25" s="126"/>
      <c r="I25" s="14"/>
    </row>
    <row r="26" spans="2:9" ht="15.75" thickBot="1" x14ac:dyDescent="0.3">
      <c r="B26" s="13"/>
      <c r="C26" s="51"/>
      <c r="D26" s="52"/>
      <c r="E26"/>
      <c r="F26" s="49"/>
      <c r="I26" s="14"/>
    </row>
    <row r="27" spans="2:9" x14ac:dyDescent="0.25">
      <c r="B27" s="13"/>
      <c r="C27" s="39" t="s">
        <v>85</v>
      </c>
      <c r="D27" s="39" t="s">
        <v>23</v>
      </c>
      <c r="E27"/>
      <c r="F27" s="115" t="s">
        <v>84</v>
      </c>
      <c r="G27" s="116"/>
      <c r="H27" s="117"/>
      <c r="I27" s="14"/>
    </row>
    <row r="28" spans="2:9" x14ac:dyDescent="0.25">
      <c r="B28" s="13"/>
      <c r="C28" s="18" t="s">
        <v>77</v>
      </c>
      <c r="D28" s="64">
        <v>4</v>
      </c>
      <c r="E28"/>
      <c r="F28" s="118" t="s">
        <v>648</v>
      </c>
      <c r="G28" s="119"/>
      <c r="H28" s="120"/>
      <c r="I28" s="14"/>
    </row>
    <row r="29" spans="2:9" x14ac:dyDescent="0.25">
      <c r="B29" s="13"/>
      <c r="C29" s="18" t="s">
        <v>78</v>
      </c>
      <c r="D29" s="64">
        <v>4</v>
      </c>
      <c r="E29"/>
      <c r="F29" s="121"/>
      <c r="G29" s="119"/>
      <c r="H29" s="120"/>
      <c r="I29" s="14"/>
    </row>
    <row r="30" spans="2:9" x14ac:dyDescent="0.25">
      <c r="B30" s="13"/>
      <c r="C30" s="18" t="s">
        <v>79</v>
      </c>
      <c r="D30" s="64">
        <v>0</v>
      </c>
      <c r="E30"/>
      <c r="F30" s="121"/>
      <c r="G30" s="119"/>
      <c r="H30" s="120"/>
      <c r="I30" s="14"/>
    </row>
    <row r="31" spans="2:9" x14ac:dyDescent="0.25">
      <c r="B31" s="13"/>
      <c r="C31" s="18" t="s">
        <v>80</v>
      </c>
      <c r="D31" s="64">
        <v>1</v>
      </c>
      <c r="E31"/>
      <c r="F31" s="121"/>
      <c r="G31" s="119"/>
      <c r="H31" s="120"/>
      <c r="I31" s="14"/>
    </row>
    <row r="32" spans="2:9" x14ac:dyDescent="0.25">
      <c r="B32" s="13"/>
      <c r="C32" s="18" t="s">
        <v>81</v>
      </c>
      <c r="D32" s="64">
        <v>1</v>
      </c>
      <c r="E32"/>
      <c r="F32" s="121"/>
      <c r="G32" s="119"/>
      <c r="H32" s="120"/>
      <c r="I32" s="14"/>
    </row>
    <row r="33" spans="2:9" ht="15.75" thickBot="1" x14ac:dyDescent="0.3">
      <c r="B33" s="13"/>
      <c r="E33"/>
      <c r="F33" s="122"/>
      <c r="G33" s="123"/>
      <c r="H33" s="124"/>
      <c r="I33" s="14"/>
    </row>
    <row r="34" spans="2:9" ht="15.75" thickBot="1" x14ac:dyDescent="0.3">
      <c r="B34" s="13"/>
      <c r="F34" s="127" t="s">
        <v>165</v>
      </c>
      <c r="G34" s="128"/>
      <c r="H34" s="76" t="s">
        <v>13</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xWindow="1172" yWindow="273"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opLeftCell="A2" zoomScale="90" zoomScaleNormal="90" workbookViewId="0">
      <selection activeCell="F17" sqref="F17:G22"/>
    </sheetView>
  </sheetViews>
  <sheetFormatPr baseColWidth="10" defaultColWidth="11.42578125"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1</v>
      </c>
    </row>
    <row r="3" spans="2:22" x14ac:dyDescent="0.25">
      <c r="B3" s="13"/>
      <c r="H3" s="14"/>
      <c r="V3" s="23">
        <f>+IF(V2&lt;=20,V2,IF(ROUNDDOWN(V2*10%,0)&lt;20,20,ROUNDDOWN(V2*10%,0)))</f>
        <v>1</v>
      </c>
    </row>
    <row r="4" spans="2:22" x14ac:dyDescent="0.25">
      <c r="B4" s="13"/>
      <c r="H4" s="14"/>
    </row>
    <row r="5" spans="2:22" x14ac:dyDescent="0.25">
      <c r="B5" s="13"/>
      <c r="H5" s="14"/>
    </row>
    <row r="6" spans="2:22" ht="15" customHeight="1" x14ac:dyDescent="0.25">
      <c r="B6" s="13"/>
      <c r="G6" s="24"/>
      <c r="H6" s="25"/>
    </row>
    <row r="7" spans="2:22" ht="23.25" x14ac:dyDescent="0.25">
      <c r="B7" s="13"/>
      <c r="C7" s="125" t="s">
        <v>139</v>
      </c>
      <c r="D7" s="125"/>
      <c r="E7" s="125"/>
      <c r="F7" s="125"/>
      <c r="G7" s="125"/>
      <c r="H7" s="25"/>
      <c r="T7" s="1" t="s">
        <v>12</v>
      </c>
    </row>
    <row r="8" spans="2:22" x14ac:dyDescent="0.25">
      <c r="B8" s="13"/>
      <c r="E8" s="70" t="s">
        <v>136</v>
      </c>
      <c r="H8" s="14"/>
      <c r="T8" s="1" t="s">
        <v>13</v>
      </c>
    </row>
    <row r="9" spans="2:22" ht="15" customHeight="1" x14ac:dyDescent="0.25">
      <c r="B9" s="13"/>
      <c r="C9" s="20" t="s">
        <v>615</v>
      </c>
      <c r="D9" s="20" t="s">
        <v>23</v>
      </c>
      <c r="E9"/>
      <c r="F9" s="102" t="str">
        <f>"Seleccione una muestra de "&amp;V3&amp;" prejudiciales activos registrados antes  y hasta el 30 de junio  de 2023 (mas de 6 meses) y complete la siguiente tabla"</f>
        <v>Seleccione una muestra de 1 prejudiciales activos registrados antes  y hasta el 30 de junio  de 2023 (mas de 6 meses) y complete la siguiente tabla</v>
      </c>
      <c r="G9" s="103"/>
      <c r="H9" s="14"/>
      <c r="T9" s="1" t="s">
        <v>14</v>
      </c>
    </row>
    <row r="10" spans="2:22" x14ac:dyDescent="0.25">
      <c r="B10" s="13"/>
      <c r="C10" s="18" t="s">
        <v>146</v>
      </c>
      <c r="D10" s="64">
        <v>0</v>
      </c>
      <c r="E10"/>
      <c r="F10" s="104"/>
      <c r="G10" s="105"/>
      <c r="H10" s="14"/>
    </row>
    <row r="11" spans="2:22" x14ac:dyDescent="0.25">
      <c r="B11" s="13"/>
      <c r="C11" s="18" t="s">
        <v>52</v>
      </c>
      <c r="D11" s="64">
        <v>4</v>
      </c>
      <c r="E11"/>
      <c r="F11" s="21" t="s">
        <v>31</v>
      </c>
      <c r="G11" s="21" t="s">
        <v>54</v>
      </c>
      <c r="H11" s="14"/>
    </row>
    <row r="12" spans="2:22" x14ac:dyDescent="0.25">
      <c r="B12" s="13"/>
      <c r="C12" s="18" t="s">
        <v>618</v>
      </c>
      <c r="D12" s="64">
        <v>3</v>
      </c>
      <c r="E12"/>
      <c r="F12" s="28" t="s">
        <v>55</v>
      </c>
      <c r="G12" s="64">
        <v>0</v>
      </c>
      <c r="H12" s="14"/>
    </row>
    <row r="13" spans="2:22" x14ac:dyDescent="0.25">
      <c r="B13" s="13"/>
      <c r="C13" s="18" t="s">
        <v>160</v>
      </c>
      <c r="D13" s="64">
        <v>1</v>
      </c>
      <c r="E13"/>
      <c r="F13" s="18" t="s">
        <v>140</v>
      </c>
      <c r="G13" s="64">
        <v>1</v>
      </c>
      <c r="H13" s="14"/>
    </row>
    <row r="14" spans="2:22" x14ac:dyDescent="0.25">
      <c r="B14" s="13"/>
      <c r="C14" s="18" t="s">
        <v>619</v>
      </c>
      <c r="D14" s="64">
        <v>0</v>
      </c>
      <c r="E14"/>
      <c r="F14"/>
      <c r="G14"/>
      <c r="H14" s="14"/>
    </row>
    <row r="15" spans="2:22" x14ac:dyDescent="0.25">
      <c r="B15" s="13"/>
      <c r="E15"/>
      <c r="F15"/>
      <c r="G15"/>
      <c r="H15" s="14"/>
    </row>
    <row r="16" spans="2:22" x14ac:dyDescent="0.25">
      <c r="B16" s="13"/>
      <c r="C16" s="20" t="s">
        <v>620</v>
      </c>
      <c r="D16" s="20" t="s">
        <v>23</v>
      </c>
      <c r="E16"/>
      <c r="F16" s="129" t="s">
        <v>84</v>
      </c>
      <c r="G16" s="129"/>
      <c r="H16" s="14"/>
    </row>
    <row r="17" spans="2:8" x14ac:dyDescent="0.25">
      <c r="B17" s="13"/>
      <c r="C17" s="18" t="s">
        <v>616</v>
      </c>
      <c r="D17" s="64">
        <v>3</v>
      </c>
      <c r="E17"/>
      <c r="F17" s="130" t="s">
        <v>649</v>
      </c>
      <c r="G17" s="119"/>
      <c r="H17" s="14"/>
    </row>
    <row r="18" spans="2:8" x14ac:dyDescent="0.25">
      <c r="B18" s="13"/>
      <c r="C18" s="18" t="s">
        <v>617</v>
      </c>
      <c r="D18" s="64">
        <v>3</v>
      </c>
      <c r="E18"/>
      <c r="F18" s="119"/>
      <c r="G18" s="119"/>
      <c r="H18" s="14"/>
    </row>
    <row r="19" spans="2:8" x14ac:dyDescent="0.25">
      <c r="B19" s="13"/>
      <c r="C19"/>
      <c r="D19"/>
      <c r="E19"/>
      <c r="F19" s="119"/>
      <c r="G19" s="119"/>
      <c r="H19" s="14"/>
    </row>
    <row r="20" spans="2:8" x14ac:dyDescent="0.25">
      <c r="B20" s="13"/>
      <c r="C20"/>
      <c r="D20"/>
      <c r="E20"/>
      <c r="F20" s="119"/>
      <c r="G20" s="119"/>
      <c r="H20" s="14"/>
    </row>
    <row r="21" spans="2:8" x14ac:dyDescent="0.25">
      <c r="B21" s="13"/>
      <c r="E21"/>
      <c r="F21" s="119"/>
      <c r="G21" s="119"/>
      <c r="H21" s="14"/>
    </row>
    <row r="22" spans="2:8" ht="15.75" thickBot="1" x14ac:dyDescent="0.3">
      <c r="B22" s="13"/>
      <c r="E22"/>
      <c r="F22" s="119"/>
      <c r="G22" s="119"/>
      <c r="H22" s="14"/>
    </row>
    <row r="23" spans="2:8" ht="15.75" thickBot="1" x14ac:dyDescent="0.3">
      <c r="B23" s="13"/>
      <c r="E23"/>
      <c r="F23" s="75" t="s">
        <v>165</v>
      </c>
      <c r="G23" s="76" t="s">
        <v>13</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C13" sqref="C13:G16"/>
    </sheetView>
  </sheetViews>
  <sheetFormatPr baseColWidth="10" defaultColWidth="11.42578125"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1</v>
      </c>
      <c r="H9" s="14"/>
      <c r="T9" s="1" t="s">
        <v>14</v>
      </c>
    </row>
    <row r="10" spans="2:22" x14ac:dyDescent="0.25">
      <c r="B10" s="13"/>
      <c r="C10" s="18" t="s">
        <v>149</v>
      </c>
      <c r="D10" s="64">
        <v>0</v>
      </c>
      <c r="E10"/>
      <c r="F10" s="18" t="s">
        <v>82</v>
      </c>
      <c r="G10" s="64">
        <v>1</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31" t="s">
        <v>644</v>
      </c>
      <c r="D13" s="107"/>
      <c r="E13" s="107"/>
      <c r="F13" s="107"/>
      <c r="G13" s="108"/>
      <c r="H13" s="14"/>
    </row>
    <row r="14" spans="2:22" x14ac:dyDescent="0.25">
      <c r="B14" s="13"/>
      <c r="C14" s="109"/>
      <c r="D14" s="110"/>
      <c r="E14" s="110"/>
      <c r="F14" s="110"/>
      <c r="G14" s="111"/>
      <c r="H14" s="14"/>
    </row>
    <row r="15" spans="2:22" x14ac:dyDescent="0.25">
      <c r="B15" s="13"/>
      <c r="C15" s="109"/>
      <c r="D15" s="110"/>
      <c r="E15" s="110"/>
      <c r="F15" s="110"/>
      <c r="G15" s="111"/>
      <c r="H15" s="14"/>
    </row>
    <row r="16" spans="2:22" ht="15.75" thickBot="1" x14ac:dyDescent="0.3">
      <c r="B16" s="13"/>
      <c r="C16" s="132"/>
      <c r="D16" s="133"/>
      <c r="E16" s="133"/>
      <c r="F16" s="133"/>
      <c r="G16" s="134"/>
      <c r="H16" s="14"/>
      <c r="T16" s="1">
        <f>IF(G9="",0,1)</f>
        <v>1</v>
      </c>
    </row>
    <row r="17" spans="2:20" ht="15.75" thickBot="1" x14ac:dyDescent="0.3">
      <c r="B17" s="13"/>
      <c r="C17" s="75" t="s">
        <v>165</v>
      </c>
      <c r="D17" s="76" t="s">
        <v>13</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E15" sqref="E15"/>
    </sheetView>
  </sheetViews>
  <sheetFormatPr baseColWidth="10" defaultColWidth="11.42578125"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630</v>
      </c>
      <c r="D6" s="125"/>
      <c r="E6" s="22"/>
      <c r="F6"/>
      <c r="G6"/>
      <c r="H6" s="25"/>
    </row>
    <row r="7" spans="2:22" x14ac:dyDescent="0.25">
      <c r="B7" s="13"/>
      <c r="C7" s="1" t="s">
        <v>136</v>
      </c>
      <c r="F7" s="47" t="s">
        <v>86</v>
      </c>
      <c r="G7"/>
      <c r="H7" s="14"/>
      <c r="T7" s="1" t="s">
        <v>12</v>
      </c>
    </row>
    <row r="8" spans="2:22" x14ac:dyDescent="0.25">
      <c r="B8" s="13"/>
      <c r="C8" s="20" t="s">
        <v>625</v>
      </c>
      <c r="D8" s="20" t="s">
        <v>624</v>
      </c>
      <c r="E8"/>
      <c r="F8" s="135" t="s">
        <v>650</v>
      </c>
      <c r="G8" s="136"/>
      <c r="H8" s="14"/>
      <c r="T8" s="1" t="s">
        <v>13</v>
      </c>
    </row>
    <row r="9" spans="2:22" ht="31.5" customHeight="1" x14ac:dyDescent="0.25">
      <c r="B9" s="13"/>
      <c r="C9" s="87" t="s">
        <v>632</v>
      </c>
      <c r="D9" s="64" t="s">
        <v>12</v>
      </c>
      <c r="E9"/>
      <c r="F9" s="137"/>
      <c r="G9" s="138"/>
      <c r="H9" s="14"/>
      <c r="T9" s="1" t="s">
        <v>14</v>
      </c>
    </row>
    <row r="10" spans="2:22" ht="30.75" thickBot="1" x14ac:dyDescent="0.3">
      <c r="B10" s="13"/>
      <c r="C10" s="87" t="s">
        <v>631</v>
      </c>
      <c r="D10" s="64" t="s">
        <v>12</v>
      </c>
      <c r="E10"/>
      <c r="F10" s="139"/>
      <c r="G10" s="140"/>
      <c r="H10" s="14"/>
    </row>
    <row r="11" spans="2:22" ht="15.75" thickBot="1" x14ac:dyDescent="0.3">
      <c r="B11" s="13"/>
      <c r="D11"/>
      <c r="E11"/>
      <c r="F11" s="75" t="s">
        <v>165</v>
      </c>
      <c r="G11" s="76" t="s">
        <v>13</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F15" sqref="F15"/>
    </sheetView>
  </sheetViews>
  <sheetFormatPr baseColWidth="10" defaultColWidth="11.42578125"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8</v>
      </c>
      <c r="D6" s="125"/>
      <c r="E6" s="22"/>
      <c r="F6"/>
      <c r="G6"/>
      <c r="H6" s="25"/>
    </row>
    <row r="7" spans="2:22" x14ac:dyDescent="0.25">
      <c r="B7" s="13"/>
      <c r="C7" s="1" t="s">
        <v>136</v>
      </c>
      <c r="F7" s="47" t="s">
        <v>86</v>
      </c>
      <c r="G7"/>
      <c r="H7" s="14"/>
      <c r="T7" s="1" t="s">
        <v>12</v>
      </c>
    </row>
    <row r="8" spans="2:22" x14ac:dyDescent="0.25">
      <c r="B8" s="13"/>
      <c r="C8" s="20" t="s">
        <v>30</v>
      </c>
      <c r="D8" s="20" t="s">
        <v>23</v>
      </c>
      <c r="E8"/>
      <c r="F8" s="106" t="s">
        <v>651</v>
      </c>
      <c r="G8" s="108"/>
      <c r="H8" s="14"/>
      <c r="T8" s="1" t="s">
        <v>13</v>
      </c>
    </row>
    <row r="9" spans="2:22" x14ac:dyDescent="0.25">
      <c r="B9" s="13"/>
      <c r="C9" s="18" t="s">
        <v>161</v>
      </c>
      <c r="D9" s="64" t="s">
        <v>12</v>
      </c>
      <c r="E9"/>
      <c r="F9" s="109"/>
      <c r="G9" s="111"/>
      <c r="H9" s="14"/>
      <c r="T9" s="1" t="s">
        <v>14</v>
      </c>
    </row>
    <row r="10" spans="2:22" ht="15.75" thickBot="1" x14ac:dyDescent="0.3">
      <c r="B10" s="13"/>
      <c r="C10" s="18" t="s">
        <v>623</v>
      </c>
      <c r="D10" s="64" t="s">
        <v>13</v>
      </c>
      <c r="E10"/>
      <c r="F10" s="132"/>
      <c r="G10" s="134"/>
      <c r="H10" s="14"/>
    </row>
    <row r="11" spans="2:22" ht="15.75" thickBot="1" x14ac:dyDescent="0.3">
      <c r="B11" s="13"/>
      <c r="D11"/>
      <c r="E11"/>
      <c r="F11" s="75" t="s">
        <v>165</v>
      </c>
      <c r="G11" s="76" t="s">
        <v>13</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1071" yWindow="362"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tabSelected="1" topLeftCell="A11" zoomScale="96" zoomScaleNormal="96" workbookViewId="0">
      <selection activeCell="G20" sqref="G20"/>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7" t="s">
        <v>10</v>
      </c>
      <c r="C2" s="147"/>
      <c r="D2" s="147"/>
      <c r="E2" s="147"/>
      <c r="F2" s="147"/>
      <c r="G2" s="147"/>
      <c r="H2" s="37"/>
      <c r="I2" s="37"/>
      <c r="J2" s="37"/>
      <c r="K2" s="37"/>
      <c r="L2" s="37"/>
    </row>
    <row r="3" spans="2:20" ht="18.75" x14ac:dyDescent="0.3">
      <c r="B3" s="147" t="s">
        <v>11</v>
      </c>
      <c r="C3" s="147"/>
      <c r="D3" s="147"/>
      <c r="E3" s="147"/>
      <c r="F3" s="147"/>
      <c r="G3" s="147"/>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41" t="s">
        <v>404</v>
      </c>
      <c r="D5" s="142"/>
      <c r="E5" s="142"/>
      <c r="F5" s="142"/>
      <c r="G5" s="143"/>
    </row>
    <row r="6" spans="2:20" ht="15.75" thickBot="1" x14ac:dyDescent="0.3">
      <c r="B6" t="s">
        <v>152</v>
      </c>
      <c r="C6" s="144" t="s">
        <v>652</v>
      </c>
      <c r="D6" s="145"/>
      <c r="E6" s="145"/>
      <c r="F6" s="145"/>
      <c r="G6" s="146"/>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1</v>
      </c>
      <c r="E9" s="35" t="s">
        <v>45</v>
      </c>
      <c r="F9" s="68">
        <f>+PREJUDICIALES!$D$11</f>
        <v>4</v>
      </c>
      <c r="T9" s="1" t="s">
        <v>14</v>
      </c>
    </row>
    <row r="10" spans="2:20" x14ac:dyDescent="0.25">
      <c r="B10" s="35" t="s">
        <v>38</v>
      </c>
      <c r="C10" s="68">
        <f>+ABOGADOS!$D$12+SUM(USUARIOS!I12:I17)</f>
        <v>26</v>
      </c>
      <c r="E10" s="35" t="s">
        <v>43</v>
      </c>
      <c r="F10" s="69" t="str">
        <f>IFERROR(PREJUDICIALES!$D$11/PREJUDICIALES!$D$10,"")</f>
        <v/>
      </c>
    </row>
    <row r="11" spans="2:20" x14ac:dyDescent="0.25">
      <c r="B11" s="35" t="s">
        <v>9</v>
      </c>
      <c r="C11" s="68" t="s">
        <v>99</v>
      </c>
      <c r="E11" s="35" t="s">
        <v>46</v>
      </c>
      <c r="F11" s="69">
        <f>IFERROR(PREJUDICIALES!$G$13/PREJUDICIALES!$V$3,"")</f>
        <v>1</v>
      </c>
    </row>
    <row r="12" spans="2:20" x14ac:dyDescent="0.25">
      <c r="B12" s="35" t="s">
        <v>39</v>
      </c>
      <c r="C12" s="69">
        <f>IFERROR((ABOGADOS!$H$17+ABOGADOS!$H$18+ABOGADOS!$H$19*0.5)/ABOGADOS!D12,"")</f>
        <v>2.4249999999999998</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No</v>
      </c>
    </row>
    <row r="19" spans="2:6" x14ac:dyDescent="0.25">
      <c r="B19" s="35" t="s">
        <v>41</v>
      </c>
      <c r="C19" s="68">
        <f>+JUDICIALES!$D$12</f>
        <v>142</v>
      </c>
      <c r="E19" s="35" t="s">
        <v>150</v>
      </c>
      <c r="F19" s="68" t="str">
        <f>+IF(PAGOS!D9="No","No aplica","Si")</f>
        <v>Si</v>
      </c>
    </row>
    <row r="20" spans="2:6" x14ac:dyDescent="0.25">
      <c r="B20" s="35" t="s">
        <v>43</v>
      </c>
      <c r="C20" s="69">
        <f>IFERROR(JUDICIALES!$D$12/JUDICIALES!$D$11,"")</f>
        <v>1.0070921985815602</v>
      </c>
      <c r="F20" s="88"/>
    </row>
    <row r="21" spans="2:6" x14ac:dyDescent="0.25">
      <c r="B21" s="35" t="s">
        <v>47</v>
      </c>
      <c r="C21" s="69">
        <f>IFERROR(JUDICIALES!$G$11/JUDICIALES!$G$10,"")</f>
        <v>1</v>
      </c>
      <c r="E21" t="s">
        <v>633</v>
      </c>
      <c r="F21" s="36" t="str">
        <f>+IF('COMITES DE CONCILIACION'!D9="","Falta  actualizar","")</f>
        <v/>
      </c>
    </row>
    <row r="22" spans="2:6" x14ac:dyDescent="0.25">
      <c r="B22" s="35" t="s">
        <v>42</v>
      </c>
      <c r="C22" s="68">
        <f>IFERROR(C19/ABOGADOS!$D$12,"")</f>
        <v>7.1</v>
      </c>
      <c r="E22" s="35" t="s">
        <v>635</v>
      </c>
      <c r="F22" s="68" t="str">
        <f>+IF('COMITES DE CONCILIACION'!D9="No","No","Si")</f>
        <v>Si</v>
      </c>
    </row>
    <row r="23" spans="2:6" x14ac:dyDescent="0.25">
      <c r="B23" s="35" t="s">
        <v>154</v>
      </c>
      <c r="C23" s="69">
        <f>IFERROR(1-(JUDICIALES!$H$22+JUDICIALES!$H$23+JUDICIALES!$H$24)/(JUDICIALES!$G$22+JUDICIALES!$G$23+JUDICIALES!$G$24),"")</f>
        <v>0</v>
      </c>
      <c r="E23" s="35" t="s">
        <v>634</v>
      </c>
      <c r="F23" s="68" t="str">
        <f>+IF('COMITES DE CONCILIACION'!D10="No","No","Si")</f>
        <v>Si</v>
      </c>
    </row>
    <row r="24" spans="2:6" ht="15.75" thickBot="1" x14ac:dyDescent="0.3"/>
    <row r="25" spans="2:6" x14ac:dyDescent="0.25">
      <c r="B25" s="2" t="s">
        <v>178</v>
      </c>
      <c r="C25" s="3"/>
      <c r="D25" s="3"/>
      <c r="E25" s="3"/>
      <c r="F25" s="4"/>
    </row>
    <row r="26" spans="2:6" x14ac:dyDescent="0.25">
      <c r="B26" s="131" t="s">
        <v>653</v>
      </c>
      <c r="C26" s="107"/>
      <c r="D26" s="107"/>
      <c r="E26" s="107"/>
      <c r="F26" s="108"/>
    </row>
    <row r="27" spans="2:6" x14ac:dyDescent="0.25">
      <c r="B27" s="109"/>
      <c r="C27" s="110"/>
      <c r="D27" s="110"/>
      <c r="E27" s="110"/>
      <c r="F27" s="111"/>
    </row>
    <row r="28" spans="2:6" x14ac:dyDescent="0.25">
      <c r="B28" s="109"/>
      <c r="C28" s="110"/>
      <c r="D28" s="110"/>
      <c r="E28" s="110"/>
      <c r="F28" s="111"/>
    </row>
    <row r="29" spans="2:6" ht="15.75" thickBot="1" x14ac:dyDescent="0.3">
      <c r="B29" s="132"/>
      <c r="C29" s="133"/>
      <c r="D29" s="133"/>
      <c r="E29" s="133"/>
      <c r="F29" s="134"/>
    </row>
    <row r="30" spans="2:6" ht="15.75" thickBot="1" x14ac:dyDescent="0.3">
      <c r="B30" s="75" t="s">
        <v>180</v>
      </c>
      <c r="C30" s="76" t="s">
        <v>12</v>
      </c>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1053" yWindow="339"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053" yWindow="339"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Betsy Elena Checa Calderon</cp:lastModifiedBy>
  <dcterms:created xsi:type="dcterms:W3CDTF">2020-06-25T21:16:25Z</dcterms:created>
  <dcterms:modified xsi:type="dcterms:W3CDTF">2024-03-14T22:01:02Z</dcterms:modified>
</cp:coreProperties>
</file>